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filterPrivacy="1" defaultThemeVersion="124226"/>
  <xr:revisionPtr revIDLastSave="0" documentId="8_{7240A027-EFD0-4C05-92FC-636B50A5B3C7}" xr6:coauthVersionLast="47" xr6:coauthVersionMax="47" xr10:uidLastSave="{00000000-0000-0000-0000-000000000000}"/>
  <bookViews>
    <workbookView xWindow="-120" yWindow="-120" windowWidth="29040" windowHeight="17640" tabRatio="546" xr2:uid="{00000000-000D-0000-FFFF-FFFF00000000}"/>
  </bookViews>
  <sheets>
    <sheet name="Uitleg + disclaimer" sheetId="27" r:id="rId1"/>
    <sheet name="VOORBEELD Ci berekening" sheetId="22" r:id="rId2"/>
    <sheet name="Ci Rekentool" sheetId="28" r:id="rId3"/>
    <sheet name="MateriaalDatabank" sheetId="21" r:id="rId4"/>
    <sheet name="bron MateriaalDatabank" sheetId="2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98" i="28" l="1"/>
  <c r="AA98" i="28" s="1"/>
  <c r="Q97" i="28"/>
  <c r="M97" i="28"/>
  <c r="Q96" i="28"/>
  <c r="M96" i="28"/>
  <c r="M95" i="28"/>
  <c r="Q95" i="28" s="1"/>
  <c r="Q94" i="28"/>
  <c r="M94" i="28"/>
  <c r="AA93" i="28"/>
  <c r="N93" i="28"/>
  <c r="M93" i="28"/>
  <c r="I92" i="28"/>
  <c r="AH28" i="28" s="1"/>
  <c r="AI28" i="28" s="1"/>
  <c r="N91" i="28"/>
  <c r="AA91" i="28" s="1"/>
  <c r="M91" i="28"/>
  <c r="U88" i="28" s="1"/>
  <c r="V88" i="28" s="1"/>
  <c r="Q90" i="28"/>
  <c r="I90" i="28" a="1"/>
  <c r="I90" i="28" s="1"/>
  <c r="J90" i="28" s="1" a="1"/>
  <c r="J90" i="28" s="1"/>
  <c r="Q89" i="28"/>
  <c r="I89" i="28" a="1"/>
  <c r="I89" i="28" s="1"/>
  <c r="Q88" i="28"/>
  <c r="N88" i="28"/>
  <c r="I88" i="28" a="1"/>
  <c r="I88" i="28" s="1"/>
  <c r="L88" i="28" s="1" a="1"/>
  <c r="L88" i="28" s="1"/>
  <c r="L95" i="28" s="1"/>
  <c r="AA87" i="28"/>
  <c r="Q87" i="28"/>
  <c r="N87" i="28"/>
  <c r="N94" i="28" s="1"/>
  <c r="I87" i="28" a="1"/>
  <c r="I87" i="28" s="1"/>
  <c r="AA86" i="28"/>
  <c r="Q86" i="28"/>
  <c r="I86" i="28" a="1"/>
  <c r="I86" i="28" s="1"/>
  <c r="I97" i="28" s="1"/>
  <c r="Y85" i="28"/>
  <c r="AA83" i="28"/>
  <c r="N83" i="28"/>
  <c r="M82" i="28"/>
  <c r="Q82" i="28" s="1"/>
  <c r="Q81" i="28"/>
  <c r="M81" i="28"/>
  <c r="AA80" i="28"/>
  <c r="Q80" i="28"/>
  <c r="N80" i="28"/>
  <c r="M80" i="28"/>
  <c r="Q79" i="28"/>
  <c r="N79" i="28"/>
  <c r="M79" i="28"/>
  <c r="M83" i="28" s="1"/>
  <c r="Q78" i="28"/>
  <c r="N78" i="28"/>
  <c r="AA78" i="28" s="1"/>
  <c r="M78" i="28"/>
  <c r="U78" i="28" s="1"/>
  <c r="V78" i="28" s="1"/>
  <c r="W78" i="28" s="1"/>
  <c r="I77" i="28"/>
  <c r="AH26" i="28" s="1"/>
  <c r="AI26" i="28" s="1"/>
  <c r="N76" i="28"/>
  <c r="AA76" i="28" s="1"/>
  <c r="M76" i="28"/>
  <c r="U75" i="28"/>
  <c r="V75" i="28" s="1"/>
  <c r="Q75" i="28"/>
  <c r="I75" i="28" a="1"/>
  <c r="I75" i="28" s="1"/>
  <c r="V74" i="28"/>
  <c r="U74" i="28"/>
  <c r="Q74" i="28"/>
  <c r="I74" i="28" a="1"/>
  <c r="I74" i="28" s="1"/>
  <c r="AA73" i="28"/>
  <c r="U73" i="28"/>
  <c r="V73" i="28" s="1"/>
  <c r="Q73" i="28"/>
  <c r="I73" i="28" a="1"/>
  <c r="I73" i="28" s="1"/>
  <c r="AA72" i="28"/>
  <c r="U72" i="28"/>
  <c r="V72" i="28" s="1"/>
  <c r="Q72" i="28"/>
  <c r="N72" i="28"/>
  <c r="N73" i="28" s="1"/>
  <c r="I72" i="28" a="1"/>
  <c r="I72" i="28" s="1"/>
  <c r="AA71" i="28"/>
  <c r="V71" i="28"/>
  <c r="W71" i="28" s="1"/>
  <c r="U71" i="28"/>
  <c r="Q71" i="28"/>
  <c r="O71" i="28" s="1"/>
  <c r="I71" i="28" a="1"/>
  <c r="I71" i="28" s="1"/>
  <c r="K71" i="28" s="1" a="1"/>
  <c r="K71" i="28" s="1"/>
  <c r="Y70" i="28"/>
  <c r="AA68" i="28"/>
  <c r="N68" i="28"/>
  <c r="M67" i="28"/>
  <c r="Q67" i="28" s="1"/>
  <c r="M66" i="28"/>
  <c r="Q66" i="28" s="1"/>
  <c r="Q65" i="28"/>
  <c r="M65" i="28"/>
  <c r="N64" i="28"/>
  <c r="AA64" i="28" s="1"/>
  <c r="M64" i="28"/>
  <c r="AA63" i="28"/>
  <c r="Q63" i="28"/>
  <c r="O63" i="28" s="1"/>
  <c r="N63" i="28"/>
  <c r="M63" i="28"/>
  <c r="I62" i="28"/>
  <c r="AH23" i="28" s="1"/>
  <c r="AI23" i="28" s="1"/>
  <c r="N61" i="28"/>
  <c r="AA61" i="28" s="1"/>
  <c r="M61" i="28"/>
  <c r="U58" i="28" s="1"/>
  <c r="V58" i="28" s="1"/>
  <c r="W58" i="28" s="1"/>
  <c r="U60" i="28"/>
  <c r="V60" i="28" s="1"/>
  <c r="W60" i="28" s="1"/>
  <c r="Q60" i="28"/>
  <c r="I60" i="28" a="1"/>
  <c r="I60" i="28" s="1"/>
  <c r="J60" i="28" s="1" a="1"/>
  <c r="J60" i="28" s="1"/>
  <c r="U59" i="28"/>
  <c r="V59" i="28" s="1"/>
  <c r="W59" i="28" s="1"/>
  <c r="Q59" i="28"/>
  <c r="N59" i="28"/>
  <c r="I59" i="28" a="1"/>
  <c r="I59" i="28" s="1"/>
  <c r="AA58" i="28"/>
  <c r="Q58" i="28"/>
  <c r="N58" i="28"/>
  <c r="I58" i="28" a="1"/>
  <c r="I58" i="28" s="1"/>
  <c r="W57" i="28"/>
  <c r="V57" i="28"/>
  <c r="U57" i="28"/>
  <c r="Q57" i="28"/>
  <c r="N57" i="28"/>
  <c r="AA57" i="28" s="1"/>
  <c r="I57" i="28" a="1"/>
  <c r="I57" i="28" s="1"/>
  <c r="AA56" i="28"/>
  <c r="U56" i="28"/>
  <c r="V56" i="28" s="1"/>
  <c r="W56" i="28" s="1"/>
  <c r="Q56" i="28"/>
  <c r="O56" i="28" s="1"/>
  <c r="I56" i="28" a="1"/>
  <c r="I56" i="28" s="1"/>
  <c r="Y55" i="28"/>
  <c r="M52" i="28"/>
  <c r="M51" i="28"/>
  <c r="M50" i="28"/>
  <c r="M49" i="28"/>
  <c r="Q49" i="28" s="1"/>
  <c r="Q48" i="28"/>
  <c r="O48" i="28" s="1"/>
  <c r="N48" i="28"/>
  <c r="M48" i="28"/>
  <c r="I47" i="28"/>
  <c r="AH21" i="28" s="1"/>
  <c r="AI21" i="28" s="1"/>
  <c r="N46" i="28"/>
  <c r="M46" i="28"/>
  <c r="U41" i="28" s="1"/>
  <c r="V41" i="28" s="1"/>
  <c r="W41" i="28" s="1"/>
  <c r="U45" i="28"/>
  <c r="V45" i="28" s="1"/>
  <c r="Q45" i="28"/>
  <c r="I45" i="28" a="1"/>
  <c r="I45" i="28" s="1"/>
  <c r="L45" i="28" s="1" a="1"/>
  <c r="L45" i="28" s="1"/>
  <c r="L48" i="28" s="1"/>
  <c r="Q44" i="28"/>
  <c r="I44" i="28" a="1"/>
  <c r="I44" i="28" s="1"/>
  <c r="L44" i="28" s="1" a="1"/>
  <c r="L44" i="28" s="1"/>
  <c r="L49" i="28" s="1"/>
  <c r="I43" i="28" a="1"/>
  <c r="I43" i="28" s="1"/>
  <c r="J43" i="28" s="1" a="1"/>
  <c r="J43" i="28" s="1"/>
  <c r="Q43" i="28" s="1"/>
  <c r="U42" i="28"/>
  <c r="V42" i="28" s="1"/>
  <c r="N42" i="28"/>
  <c r="N49" i="28" s="1"/>
  <c r="I42" i="28" a="1"/>
  <c r="I42" i="28" s="1"/>
  <c r="I41" i="28" a="1"/>
  <c r="I41" i="28" s="1"/>
  <c r="Y40" i="28"/>
  <c r="M37" i="28"/>
  <c r="M36" i="28"/>
  <c r="M35" i="28"/>
  <c r="M34" i="28"/>
  <c r="Q34" i="28" s="1"/>
  <c r="N33" i="28"/>
  <c r="AA33" i="28" s="1"/>
  <c r="M33" i="28"/>
  <c r="I32" i="28"/>
  <c r="AH19" i="28" s="1"/>
  <c r="AI19" i="28" s="1"/>
  <c r="M31" i="28"/>
  <c r="U30" i="28"/>
  <c r="V30" i="28" s="1"/>
  <c r="W30" i="28" s="1"/>
  <c r="Q30" i="28"/>
  <c r="I30" i="28" a="1"/>
  <c r="I30" i="28" s="1"/>
  <c r="L30" i="28" s="1" a="1"/>
  <c r="L30" i="28" s="1"/>
  <c r="L33" i="28" s="1"/>
  <c r="U29" i="28"/>
  <c r="V29" i="28" s="1"/>
  <c r="Q29" i="28"/>
  <c r="I29" i="28" a="1"/>
  <c r="I29" i="28" s="1"/>
  <c r="L29" i="28" s="1" a="1"/>
  <c r="L29" i="28" s="1"/>
  <c r="L34" i="28" s="1"/>
  <c r="U28" i="28"/>
  <c r="V28" i="28" s="1"/>
  <c r="W28" i="28" s="1"/>
  <c r="I28" i="28" a="1"/>
  <c r="I28" i="28" s="1"/>
  <c r="K28" i="28" s="1" a="1"/>
  <c r="K28" i="28" s="1"/>
  <c r="K35" i="28" s="1"/>
  <c r="AH27" i="28"/>
  <c r="AI27" i="28" s="1"/>
  <c r="U27" i="28"/>
  <c r="V27" i="28" s="1"/>
  <c r="N27" i="28"/>
  <c r="N28" i="28" s="1"/>
  <c r="I27" i="28" a="1"/>
  <c r="I27" i="28" s="1"/>
  <c r="J27" i="28" s="1" a="1"/>
  <c r="J27" i="28" s="1"/>
  <c r="J36" i="28" s="1"/>
  <c r="U26" i="28"/>
  <c r="V26" i="28" s="1"/>
  <c r="W26" i="28" s="1"/>
  <c r="N31" i="28"/>
  <c r="I26" i="28" a="1"/>
  <c r="I26" i="28" s="1"/>
  <c r="AH25" i="28"/>
  <c r="AI25" i="28" s="1"/>
  <c r="Y25" i="28"/>
  <c r="AH22" i="28"/>
  <c r="AI22" i="28" s="1"/>
  <c r="M22" i="28"/>
  <c r="M21" i="28"/>
  <c r="AH20" i="28"/>
  <c r="AI20" i="28" s="1"/>
  <c r="M20" i="28"/>
  <c r="M19" i="28"/>
  <c r="AH18" i="28"/>
  <c r="AI18" i="28" s="1"/>
  <c r="M18" i="28"/>
  <c r="I17" i="28"/>
  <c r="AH17" i="28" s="1"/>
  <c r="AI17" i="28" s="1"/>
  <c r="AH16" i="28"/>
  <c r="AI16" i="28" s="1"/>
  <c r="M16" i="28"/>
  <c r="U12" i="28" s="1"/>
  <c r="V12" i="28" s="1"/>
  <c r="Q15" i="28"/>
  <c r="I15" i="28" a="1"/>
  <c r="I15" i="28" s="1"/>
  <c r="L15" i="28" s="1" a="1"/>
  <c r="L15" i="28" s="1"/>
  <c r="L18" i="28" s="1"/>
  <c r="I14" i="28" a="1"/>
  <c r="I14" i="28" s="1"/>
  <c r="J14" i="28" s="1" a="1"/>
  <c r="J14" i="28" s="1"/>
  <c r="I13" i="28" a="1"/>
  <c r="I13" i="28" s="1"/>
  <c r="J13" i="28" s="1" a="1"/>
  <c r="J13" i="28" s="1"/>
  <c r="I12" i="28" a="1"/>
  <c r="I12" i="28" s="1"/>
  <c r="J12" i="28" s="1" a="1"/>
  <c r="J12" i="28" s="1"/>
  <c r="J21" i="28" s="1"/>
  <c r="I11" i="28" a="1"/>
  <c r="I11" i="28" s="1"/>
  <c r="L11" i="28" s="1" a="1"/>
  <c r="L11" i="28" s="1"/>
  <c r="L22" i="28" s="1"/>
  <c r="Y10" i="28"/>
  <c r="O57" i="28" l="1"/>
  <c r="Q21" i="28"/>
  <c r="Q12" i="28"/>
  <c r="I66" i="28"/>
  <c r="L57" i="28" a="1"/>
  <c r="L57" i="28" s="1"/>
  <c r="L66" i="28" s="1"/>
  <c r="J57" i="28" a="1"/>
  <c r="J57" i="28" s="1"/>
  <c r="J66" i="28" s="1"/>
  <c r="J71" i="28" a="1"/>
  <c r="J71" i="28" s="1"/>
  <c r="J82" i="28" s="1"/>
  <c r="I93" i="28"/>
  <c r="Q61" i="28"/>
  <c r="AA55" i="28"/>
  <c r="L72" i="28" a="1"/>
  <c r="L72" i="28" s="1"/>
  <c r="L81" i="28" s="1"/>
  <c r="K72" i="28" a="1"/>
  <c r="K72" i="28" s="1"/>
  <c r="K81" i="28" s="1"/>
  <c r="J72" i="28" a="1"/>
  <c r="J72" i="28" s="1"/>
  <c r="J81" i="28" s="1"/>
  <c r="I81" i="28"/>
  <c r="J75" i="28" a="1"/>
  <c r="J75" i="28" s="1"/>
  <c r="J78" i="28" s="1"/>
  <c r="I78" i="28"/>
  <c r="I63" i="28"/>
  <c r="K90" i="28" a="1"/>
  <c r="K90" i="28" s="1"/>
  <c r="K93" i="28" s="1"/>
  <c r="R56" i="28"/>
  <c r="S56" i="28" s="1"/>
  <c r="L90" i="28" a="1"/>
  <c r="L90" i="28" s="1"/>
  <c r="L93" i="28" s="1"/>
  <c r="J44" i="28" a="1"/>
  <c r="J44" i="28" s="1"/>
  <c r="J49" i="28" s="1"/>
  <c r="Q76" i="28"/>
  <c r="L27" i="28" a="1"/>
  <c r="L27" i="28" s="1"/>
  <c r="L36" i="28" s="1"/>
  <c r="AA70" i="28"/>
  <c r="N43" i="28"/>
  <c r="N44" i="28" s="1"/>
  <c r="N45" i="28" s="1"/>
  <c r="W45" i="28"/>
  <c r="U43" i="28"/>
  <c r="V43" i="28" s="1"/>
  <c r="W43" i="28" s="1"/>
  <c r="U44" i="28"/>
  <c r="V44" i="28" s="1"/>
  <c r="M53" i="28"/>
  <c r="U49" i="28" s="1"/>
  <c r="V49" i="28" s="1"/>
  <c r="M38" i="28"/>
  <c r="U33" i="28" s="1"/>
  <c r="V33" i="28" s="1"/>
  <c r="W33" i="28" s="1"/>
  <c r="W27" i="28"/>
  <c r="U15" i="28"/>
  <c r="V15" i="28" s="1"/>
  <c r="K42" i="28" a="1"/>
  <c r="K42" i="28" s="1"/>
  <c r="K51" i="28" s="1"/>
  <c r="J42" i="28" a="1"/>
  <c r="J42" i="28" s="1"/>
  <c r="I51" i="28"/>
  <c r="L42" i="28" a="1"/>
  <c r="L42" i="28" s="1"/>
  <c r="L51" i="28" s="1"/>
  <c r="K45" i="28" a="1"/>
  <c r="K45" i="28" s="1"/>
  <c r="K48" i="28" s="1"/>
  <c r="Q50" i="28"/>
  <c r="K43" i="28" a="1"/>
  <c r="K43" i="28" s="1"/>
  <c r="J50" i="28"/>
  <c r="L43" i="28" a="1"/>
  <c r="L43" i="28" s="1"/>
  <c r="L50" i="28" s="1"/>
  <c r="J45" i="28" a="1"/>
  <c r="J45" i="28" s="1"/>
  <c r="J48" i="28" s="1"/>
  <c r="I48" i="28"/>
  <c r="J28" i="28" a="1"/>
  <c r="J28" i="28" s="1"/>
  <c r="K27" i="28" a="1"/>
  <c r="K27" i="28" s="1"/>
  <c r="K36" i="28" s="1"/>
  <c r="L28" i="28" a="1"/>
  <c r="L28" i="28" s="1"/>
  <c r="L35" i="28" s="1"/>
  <c r="L13" i="28" a="1"/>
  <c r="L13" i="28" s="1"/>
  <c r="L20" i="28" s="1"/>
  <c r="Q13" i="28"/>
  <c r="K11" i="28" a="1"/>
  <c r="K11" i="28" s="1"/>
  <c r="K22" i="28" s="1"/>
  <c r="I22" i="28"/>
  <c r="L26" i="28" a="1"/>
  <c r="L26" i="28" s="1"/>
  <c r="L37" i="28" s="1"/>
  <c r="I37" i="28"/>
  <c r="K26" i="28" a="1"/>
  <c r="K26" i="28" s="1"/>
  <c r="J26" i="28" a="1"/>
  <c r="J26" i="28" s="1"/>
  <c r="N35" i="28"/>
  <c r="N29" i="28"/>
  <c r="K50" i="28"/>
  <c r="N52" i="28"/>
  <c r="J19" i="28"/>
  <c r="Q14" i="28"/>
  <c r="W29" i="28"/>
  <c r="L12" i="28" a="1"/>
  <c r="L12" i="28" s="1"/>
  <c r="L21" i="28" s="1"/>
  <c r="I21" i="28"/>
  <c r="N53" i="28"/>
  <c r="AA53" i="28" s="1"/>
  <c r="AA48" i="28"/>
  <c r="N60" i="28"/>
  <c r="J87" i="28" a="1"/>
  <c r="J87" i="28" s="1"/>
  <c r="I96" i="28"/>
  <c r="L87" i="28" a="1"/>
  <c r="L87" i="28" s="1"/>
  <c r="L96" i="28" s="1"/>
  <c r="K87" i="28" a="1"/>
  <c r="K87" i="28" s="1"/>
  <c r="K96" i="28" s="1"/>
  <c r="L14" i="28" a="1"/>
  <c r="L14" i="28" s="1"/>
  <c r="L19" i="28" s="1"/>
  <c r="Q27" i="28"/>
  <c r="Q33" i="28"/>
  <c r="U36" i="28"/>
  <c r="V36" i="28" s="1"/>
  <c r="W42" i="28"/>
  <c r="W44" i="28"/>
  <c r="W46" i="28" s="1"/>
  <c r="V46" i="28" s="1"/>
  <c r="AA49" i="28"/>
  <c r="J58" i="28" a="1"/>
  <c r="J58" i="28" s="1"/>
  <c r="K58" i="28" a="1"/>
  <c r="K58" i="28" s="1"/>
  <c r="K65" i="28" s="1"/>
  <c r="L58" i="28" a="1"/>
  <c r="L58" i="28" s="1"/>
  <c r="L65" i="28" s="1"/>
  <c r="I65" i="28"/>
  <c r="N66" i="28"/>
  <c r="I80" i="28"/>
  <c r="K73" i="28" a="1"/>
  <c r="K73" i="28" s="1"/>
  <c r="K80" i="28" s="1"/>
  <c r="J73" i="28" a="1"/>
  <c r="J73" i="28" s="1"/>
  <c r="L73" i="28" a="1"/>
  <c r="L73" i="28" s="1"/>
  <c r="L80" i="28" s="1"/>
  <c r="I34" i="28"/>
  <c r="K29" i="28" a="1"/>
  <c r="K29" i="28" s="1"/>
  <c r="K34" i="28" s="1"/>
  <c r="J29" i="28" a="1"/>
  <c r="J29" i="28" s="1"/>
  <c r="K12" i="28" a="1"/>
  <c r="K12" i="28" s="1"/>
  <c r="K21" i="28" s="1"/>
  <c r="K13" i="28" a="1"/>
  <c r="K13" i="28" s="1"/>
  <c r="K20" i="28" s="1"/>
  <c r="U13" i="28"/>
  <c r="V13" i="28" s="1"/>
  <c r="W13" i="28" s="1"/>
  <c r="U14" i="28"/>
  <c r="V14" i="28" s="1"/>
  <c r="U11" i="28"/>
  <c r="V11" i="28" s="1"/>
  <c r="W11" i="28" s="1"/>
  <c r="K15" i="28" a="1"/>
  <c r="K15" i="28" s="1"/>
  <c r="K18" i="28" s="1"/>
  <c r="I18" i="28"/>
  <c r="N16" i="28"/>
  <c r="N38" i="28"/>
  <c r="AA38" i="28" s="1"/>
  <c r="O49" i="28"/>
  <c r="R48" i="28"/>
  <c r="S48" i="28" s="1"/>
  <c r="W61" i="28"/>
  <c r="V61" i="28" s="1"/>
  <c r="N65" i="28"/>
  <c r="R63" i="28"/>
  <c r="S63" i="28" s="1"/>
  <c r="N18" i="28"/>
  <c r="O72" i="28"/>
  <c r="R71" i="28"/>
  <c r="S71" i="28" s="1"/>
  <c r="I20" i="28"/>
  <c r="J11" i="28" a="1"/>
  <c r="J11" i="28" s="1"/>
  <c r="N12" i="28"/>
  <c r="N13" i="28" s="1"/>
  <c r="J15" i="28" a="1"/>
  <c r="J15" i="28" s="1"/>
  <c r="I19" i="28"/>
  <c r="I36" i="28"/>
  <c r="AA59" i="28"/>
  <c r="J93" i="28"/>
  <c r="I33" i="28"/>
  <c r="J30" i="28" a="1"/>
  <c r="J30" i="28" s="1"/>
  <c r="N51" i="28"/>
  <c r="U51" i="28"/>
  <c r="V51" i="28" s="1"/>
  <c r="L60" i="28" a="1"/>
  <c r="L60" i="28" s="1"/>
  <c r="L63" i="28" s="1"/>
  <c r="K60" i="28" a="1"/>
  <c r="K60" i="28" s="1"/>
  <c r="K63" i="28" s="1"/>
  <c r="N34" i="28"/>
  <c r="I67" i="28"/>
  <c r="K56" i="28" a="1"/>
  <c r="K56" i="28" s="1"/>
  <c r="J56" i="28" a="1"/>
  <c r="J56" i="28" s="1"/>
  <c r="L56" i="28" a="1"/>
  <c r="L56" i="28" s="1"/>
  <c r="L67" i="28" s="1"/>
  <c r="J63" i="28"/>
  <c r="K82" i="28"/>
  <c r="K14" i="28" a="1"/>
  <c r="K14" i="28" s="1"/>
  <c r="K19" i="28" s="1"/>
  <c r="M23" i="28"/>
  <c r="U22" i="28" s="1"/>
  <c r="V22" i="28" s="1"/>
  <c r="Q18" i="28"/>
  <c r="K30" i="28" a="1"/>
  <c r="K30" i="28" s="1"/>
  <c r="K33" i="28" s="1"/>
  <c r="Q36" i="28"/>
  <c r="J41" i="28" a="1"/>
  <c r="J41" i="28" s="1"/>
  <c r="I52" i="28"/>
  <c r="L41" i="28" a="1"/>
  <c r="L41" i="28" s="1"/>
  <c r="L52" i="28" s="1"/>
  <c r="K41" i="28" a="1"/>
  <c r="K41" i="28" s="1"/>
  <c r="I50" i="28"/>
  <c r="Q64" i="28"/>
  <c r="O64" i="28" s="1"/>
  <c r="M68" i="28"/>
  <c r="U64" i="28" s="1"/>
  <c r="V64" i="28" s="1"/>
  <c r="W64" i="28" s="1"/>
  <c r="U67" i="28"/>
  <c r="V67" i="28" s="1"/>
  <c r="U65" i="28"/>
  <c r="V65" i="28" s="1"/>
  <c r="L74" i="28" a="1"/>
  <c r="L74" i="28" s="1"/>
  <c r="L79" i="28" s="1"/>
  <c r="K74" i="28" a="1"/>
  <c r="K74" i="28" s="1"/>
  <c r="K79" i="28" s="1"/>
  <c r="J74" i="28" a="1"/>
  <c r="J74" i="28" s="1"/>
  <c r="I79" i="28"/>
  <c r="L89" i="28" a="1"/>
  <c r="L89" i="28" s="1"/>
  <c r="L94" i="28" s="1"/>
  <c r="I94" i="28"/>
  <c r="K89" i="28" a="1"/>
  <c r="K89" i="28" s="1"/>
  <c r="K94" i="28" s="1"/>
  <c r="I35" i="28"/>
  <c r="O58" i="28"/>
  <c r="U82" i="28"/>
  <c r="V82" i="28" s="1"/>
  <c r="W82" i="28" s="1"/>
  <c r="U79" i="28"/>
  <c r="V79" i="28" s="1"/>
  <c r="W79" i="28" s="1"/>
  <c r="J89" i="28" a="1"/>
  <c r="J89" i="28" s="1"/>
  <c r="K59" i="28" a="1"/>
  <c r="K59" i="28" s="1"/>
  <c r="K64" i="28" s="1"/>
  <c r="I64" i="28"/>
  <c r="L59" i="28" a="1"/>
  <c r="L59" i="28" s="1"/>
  <c r="L64" i="28" s="1"/>
  <c r="J59" i="28" a="1"/>
  <c r="J59" i="28" s="1"/>
  <c r="W72" i="28"/>
  <c r="W73" i="28"/>
  <c r="W74" i="28"/>
  <c r="W75" i="28"/>
  <c r="AA85" i="28"/>
  <c r="K44" i="28" a="1"/>
  <c r="K44" i="28" s="1"/>
  <c r="K49" i="28" s="1"/>
  <c r="I49" i="28"/>
  <c r="R57" i="28"/>
  <c r="S57" i="28" s="1"/>
  <c r="U63" i="28"/>
  <c r="V63" i="28" s="1"/>
  <c r="W63" i="28" s="1"/>
  <c r="AA94" i="28"/>
  <c r="AA88" i="28"/>
  <c r="N95" i="28"/>
  <c r="N89" i="28"/>
  <c r="L71" i="28" a="1"/>
  <c r="L71" i="28" s="1"/>
  <c r="L82" i="28" s="1"/>
  <c r="I82" i="28"/>
  <c r="Q91" i="28"/>
  <c r="O86" i="28"/>
  <c r="N74" i="28"/>
  <c r="L75" i="28" a="1"/>
  <c r="L75" i="28" s="1"/>
  <c r="L78" i="28" s="1"/>
  <c r="K75" i="28" a="1"/>
  <c r="K75" i="28" s="1"/>
  <c r="K78" i="28" s="1"/>
  <c r="M98" i="28"/>
  <c r="U93" i="28" s="1"/>
  <c r="V93" i="28" s="1"/>
  <c r="W93" i="28" s="1"/>
  <c r="U94" i="28"/>
  <c r="V94" i="28" s="1"/>
  <c r="W94" i="28" s="1"/>
  <c r="U81" i="28"/>
  <c r="V81" i="28" s="1"/>
  <c r="O78" i="28"/>
  <c r="Q83" i="28"/>
  <c r="AA79" i="28"/>
  <c r="L86" i="28" a="1"/>
  <c r="L86" i="28" s="1"/>
  <c r="L97" i="28" s="1"/>
  <c r="K86" i="28" a="1"/>
  <c r="K86" i="28" s="1"/>
  <c r="I95" i="28"/>
  <c r="K88" i="28" a="1"/>
  <c r="K88" i="28" s="1"/>
  <c r="K95" i="28" s="1"/>
  <c r="Q93" i="28"/>
  <c r="U95" i="28"/>
  <c r="V95" i="28" s="1"/>
  <c r="U52" i="28"/>
  <c r="V52" i="28" s="1"/>
  <c r="W52" i="28" s="1"/>
  <c r="U48" i="28"/>
  <c r="V48" i="28" s="1"/>
  <c r="W48" i="28" s="1"/>
  <c r="K57" i="28" a="1"/>
  <c r="K57" i="28" s="1"/>
  <c r="J86" i="28" a="1"/>
  <c r="J86" i="28" s="1"/>
  <c r="J88" i="28" a="1"/>
  <c r="J88" i="28" s="1"/>
  <c r="U89" i="28"/>
  <c r="V89" i="28" s="1"/>
  <c r="W89" i="28" s="1"/>
  <c r="U90" i="28"/>
  <c r="V90" i="28" s="1"/>
  <c r="W90" i="28" s="1"/>
  <c r="U86" i="28"/>
  <c r="V86" i="28" s="1"/>
  <c r="W86" i="28" s="1"/>
  <c r="U87" i="28"/>
  <c r="V87" i="28" s="1"/>
  <c r="U80" i="28"/>
  <c r="V80" i="28" s="1"/>
  <c r="W80" i="28" s="1"/>
  <c r="I27" i="22" a="1"/>
  <c r="I27" i="22" s="1"/>
  <c r="I42" i="22" a="1"/>
  <c r="I42" i="22" s="1"/>
  <c r="I41" i="22" a="1"/>
  <c r="I41" i="22" s="1"/>
  <c r="N11" i="22"/>
  <c r="N12" i="22" s="1"/>
  <c r="N13" i="22" s="1"/>
  <c r="N14" i="22" s="1"/>
  <c r="N15" i="22" s="1"/>
  <c r="N26" i="22"/>
  <c r="M91" i="22"/>
  <c r="M76" i="22"/>
  <c r="M61" i="22"/>
  <c r="M46" i="22"/>
  <c r="M16" i="22"/>
  <c r="M31" i="22"/>
  <c r="I92" i="22"/>
  <c r="I77" i="22"/>
  <c r="I62" i="22"/>
  <c r="I47" i="22"/>
  <c r="I32" i="22"/>
  <c r="I17" i="22"/>
  <c r="U21" i="28" l="1"/>
  <c r="V21" i="28" s="1"/>
  <c r="W22" i="28" s="1"/>
  <c r="Q68" i="28"/>
  <c r="T56" i="28"/>
  <c r="Y56" i="28" s="1"/>
  <c r="P56" i="28"/>
  <c r="N50" i="28"/>
  <c r="AA50" i="28" s="1"/>
  <c r="U50" i="28"/>
  <c r="V50" i="28" s="1"/>
  <c r="W50" i="28" s="1"/>
  <c r="U35" i="28"/>
  <c r="V35" i="28" s="1"/>
  <c r="W35" i="28" s="1"/>
  <c r="W31" i="28"/>
  <c r="V31" i="28" s="1"/>
  <c r="U37" i="28"/>
  <c r="V37" i="28" s="1"/>
  <c r="W37" i="28" s="1"/>
  <c r="U34" i="28"/>
  <c r="V34" i="28" s="1"/>
  <c r="W34" i="28" s="1"/>
  <c r="W14" i="28"/>
  <c r="J51" i="28"/>
  <c r="Q51" i="28" s="1"/>
  <c r="Q42" i="28"/>
  <c r="J35" i="28"/>
  <c r="Q35" i="28" s="1"/>
  <c r="Q28" i="28"/>
  <c r="J20" i="28"/>
  <c r="Q20" i="28" s="1"/>
  <c r="O65" i="28"/>
  <c r="R64" i="28"/>
  <c r="S64" i="28" s="1"/>
  <c r="K66" i="28"/>
  <c r="W87" i="28"/>
  <c r="W88" i="28"/>
  <c r="W67" i="28"/>
  <c r="J52" i="28"/>
  <c r="Q41" i="28"/>
  <c r="AA34" i="28"/>
  <c r="N19" i="28"/>
  <c r="N23" i="28"/>
  <c r="N5" i="28" s="1"/>
  <c r="Q26" i="28"/>
  <c r="J37" i="28"/>
  <c r="W91" i="28"/>
  <c r="V91" i="28" s="1"/>
  <c r="J67" i="28"/>
  <c r="Q11" i="28"/>
  <c r="J22" i="28"/>
  <c r="AA65" i="28"/>
  <c r="W36" i="28"/>
  <c r="K37" i="28"/>
  <c r="U66" i="28"/>
  <c r="V66" i="28" s="1"/>
  <c r="W66" i="28" s="1"/>
  <c r="AA66" i="28"/>
  <c r="J64" i="28"/>
  <c r="J34" i="28"/>
  <c r="O33" i="28"/>
  <c r="J96" i="28"/>
  <c r="J94" i="28"/>
  <c r="W95" i="28"/>
  <c r="K67" i="28"/>
  <c r="J79" i="28"/>
  <c r="U97" i="28"/>
  <c r="V97" i="28" s="1"/>
  <c r="W81" i="28"/>
  <c r="AA95" i="28"/>
  <c r="U20" i="28"/>
  <c r="V20" i="28" s="1"/>
  <c r="W49" i="28"/>
  <c r="J33" i="28"/>
  <c r="O73" i="28"/>
  <c r="R72" i="28"/>
  <c r="S72" i="28" s="1"/>
  <c r="T48" i="28"/>
  <c r="P48" i="28"/>
  <c r="AA60" i="28"/>
  <c r="N67" i="28"/>
  <c r="U18" i="28"/>
  <c r="V18" i="28" s="1"/>
  <c r="W18" i="28" s="1"/>
  <c r="J97" i="28"/>
  <c r="O87" i="28"/>
  <c r="R86" i="28"/>
  <c r="S86" i="28" s="1"/>
  <c r="W65" i="28"/>
  <c r="P57" i="28"/>
  <c r="O93" i="28"/>
  <c r="Q98" i="28"/>
  <c r="O79" i="28"/>
  <c r="R78" i="28"/>
  <c r="S78" i="28" s="1"/>
  <c r="N81" i="28"/>
  <c r="N75" i="28"/>
  <c r="AA74" i="28"/>
  <c r="N96" i="28"/>
  <c r="N90" i="28"/>
  <c r="AA89" i="28"/>
  <c r="O18" i="28"/>
  <c r="T71" i="28"/>
  <c r="Z71" i="28" s="1"/>
  <c r="P71" i="28"/>
  <c r="J95" i="28"/>
  <c r="U96" i="28"/>
  <c r="V96" i="28" s="1"/>
  <c r="W96" i="28" s="1"/>
  <c r="O59" i="28"/>
  <c r="R58" i="28"/>
  <c r="S58" i="28" s="1"/>
  <c r="K52" i="28"/>
  <c r="U19" i="28"/>
  <c r="V19" i="28" s="1"/>
  <c r="W76" i="28"/>
  <c r="V76" i="28" s="1"/>
  <c r="O50" i="28"/>
  <c r="R49" i="28"/>
  <c r="S49" i="28" s="1"/>
  <c r="W15" i="28"/>
  <c r="T63" i="28"/>
  <c r="Y63" i="28" s="1"/>
  <c r="P63" i="28"/>
  <c r="Q19" i="28"/>
  <c r="W12" i="28"/>
  <c r="N36" i="28"/>
  <c r="N30" i="28"/>
  <c r="K97" i="28"/>
  <c r="AA51" i="28"/>
  <c r="J18" i="28"/>
  <c r="J80" i="28"/>
  <c r="J65" i="28"/>
  <c r="AA52" i="28"/>
  <c r="AA35" i="28"/>
  <c r="I30" i="22" a="1"/>
  <c r="I30" i="22" s="1"/>
  <c r="I29" i="22" a="1"/>
  <c r="I29" i="22" s="1"/>
  <c r="W20" i="28" l="1"/>
  <c r="X63" i="28"/>
  <c r="Z63" i="28"/>
  <c r="Z56" i="28"/>
  <c r="X56" i="28"/>
  <c r="T57" i="28"/>
  <c r="X57" i="28" s="1"/>
  <c r="W51" i="28"/>
  <c r="W53" i="28" s="1"/>
  <c r="V53" i="28" s="1"/>
  <c r="AA36" i="28"/>
  <c r="O51" i="28"/>
  <c r="R50" i="28"/>
  <c r="S50" i="28" s="1"/>
  <c r="Y57" i="28"/>
  <c r="W21" i="28"/>
  <c r="P78" i="28"/>
  <c r="T78" i="28"/>
  <c r="Q52" i="28"/>
  <c r="Q53" i="28" s="1"/>
  <c r="T86" i="28"/>
  <c r="P86" i="28"/>
  <c r="P58" i="28"/>
  <c r="N20" i="28"/>
  <c r="N14" i="28"/>
  <c r="T64" i="28"/>
  <c r="P64" i="28"/>
  <c r="R59" i="28"/>
  <c r="S59" i="28" s="1"/>
  <c r="O60" i="28"/>
  <c r="R60" i="28" s="1"/>
  <c r="Y71" i="28"/>
  <c r="X71" i="28"/>
  <c r="AA96" i="28"/>
  <c r="O94" i="28"/>
  <c r="R93" i="28"/>
  <c r="S93" i="28" s="1"/>
  <c r="X48" i="28"/>
  <c r="Z48" i="28"/>
  <c r="R65" i="28"/>
  <c r="S65" i="28" s="1"/>
  <c r="O66" i="28"/>
  <c r="O80" i="28"/>
  <c r="R79" i="28"/>
  <c r="S79" i="28" s="1"/>
  <c r="AA90" i="28"/>
  <c r="N97" i="28"/>
  <c r="O88" i="28"/>
  <c r="R87" i="28"/>
  <c r="S87" i="28" s="1"/>
  <c r="N37" i="28"/>
  <c r="W16" i="28"/>
  <c r="V16" i="28" s="1"/>
  <c r="T49" i="28"/>
  <c r="Y49" i="28" s="1"/>
  <c r="P49" i="28"/>
  <c r="P72" i="28"/>
  <c r="T72" i="28"/>
  <c r="R33" i="28"/>
  <c r="S33" i="28" s="1"/>
  <c r="O34" i="28"/>
  <c r="W68" i="28"/>
  <c r="V68" i="28" s="1"/>
  <c r="Y48" i="28"/>
  <c r="R18" i="28"/>
  <c r="S18" i="28" s="1"/>
  <c r="O19" i="28"/>
  <c r="R73" i="28"/>
  <c r="S73" i="28" s="1"/>
  <c r="O74" i="28"/>
  <c r="Q22" i="28"/>
  <c r="Q23" i="28" s="1"/>
  <c r="N82" i="28"/>
  <c r="AA75" i="28"/>
  <c r="W83" i="28"/>
  <c r="V83" i="28" s="1"/>
  <c r="O11" i="28"/>
  <c r="Q16" i="28"/>
  <c r="Q37" i="28"/>
  <c r="Q38" i="28" s="1"/>
  <c r="W19" i="28"/>
  <c r="AA81" i="28"/>
  <c r="AA67" i="28"/>
  <c r="W97" i="28"/>
  <c r="W38" i="28"/>
  <c r="V38" i="28" s="1"/>
  <c r="O26" i="28"/>
  <c r="Q31" i="28"/>
  <c r="Q46" i="28"/>
  <c r="O41" i="28"/>
  <c r="Z57" i="28"/>
  <c r="N33" i="22"/>
  <c r="Y85" i="22"/>
  <c r="Y70" i="22"/>
  <c r="Y55" i="22"/>
  <c r="Y40" i="22"/>
  <c r="Y25" i="22"/>
  <c r="N93" i="22"/>
  <c r="N78" i="22"/>
  <c r="N63" i="22"/>
  <c r="N48" i="22"/>
  <c r="N18" i="22"/>
  <c r="M97" i="22"/>
  <c r="M96" i="22"/>
  <c r="M95" i="22"/>
  <c r="M94" i="22"/>
  <c r="M93" i="22"/>
  <c r="M82" i="22"/>
  <c r="M81" i="22"/>
  <c r="M80" i="22"/>
  <c r="M79" i="22"/>
  <c r="M78" i="22"/>
  <c r="M67" i="22"/>
  <c r="M66" i="22"/>
  <c r="M65" i="22"/>
  <c r="M64" i="22"/>
  <c r="M63" i="22"/>
  <c r="M52" i="22"/>
  <c r="M51" i="22"/>
  <c r="M50" i="22"/>
  <c r="M49" i="22"/>
  <c r="M48" i="22"/>
  <c r="M37" i="22"/>
  <c r="M36" i="22"/>
  <c r="M35" i="22"/>
  <c r="M34" i="22"/>
  <c r="M33" i="22"/>
  <c r="I90" i="22" a="1"/>
  <c r="I90" i="22" s="1"/>
  <c r="I93" i="22" s="1"/>
  <c r="I89" i="22" a="1"/>
  <c r="I89" i="22" s="1"/>
  <c r="I94" i="22" s="1"/>
  <c r="I88" i="22" a="1"/>
  <c r="I88" i="22" s="1"/>
  <c r="I95" i="22" s="1"/>
  <c r="I87" i="22" a="1"/>
  <c r="I87" i="22" s="1"/>
  <c r="I96" i="22" s="1"/>
  <c r="I86" i="22" a="1"/>
  <c r="I86" i="22" s="1"/>
  <c r="I97" i="22" s="1"/>
  <c r="I75" i="22" a="1"/>
  <c r="I75" i="22" s="1"/>
  <c r="I78" i="22" s="1"/>
  <c r="I74" i="22" a="1"/>
  <c r="I74" i="22" s="1"/>
  <c r="I79" i="22" s="1"/>
  <c r="I73" i="22" a="1"/>
  <c r="I73" i="22" s="1"/>
  <c r="I80" i="22" s="1"/>
  <c r="I72" i="22" a="1"/>
  <c r="I72" i="22" s="1"/>
  <c r="I81" i="22" s="1"/>
  <c r="I71" i="22" a="1"/>
  <c r="I71" i="22" s="1"/>
  <c r="I82" i="22" s="1"/>
  <c r="I60" i="22" a="1"/>
  <c r="I60" i="22" s="1"/>
  <c r="I63" i="22" s="1"/>
  <c r="I59" i="22" a="1"/>
  <c r="I59" i="22" s="1"/>
  <c r="I64" i="22" s="1"/>
  <c r="I58" i="22" a="1"/>
  <c r="I58" i="22" s="1"/>
  <c r="I65" i="22" s="1"/>
  <c r="I57" i="22" a="1"/>
  <c r="I57" i="22" s="1"/>
  <c r="I66" i="22" s="1"/>
  <c r="I56" i="22" a="1"/>
  <c r="I56" i="22" s="1"/>
  <c r="I67" i="22" s="1"/>
  <c r="I45" i="22" a="1"/>
  <c r="I45" i="22" s="1"/>
  <c r="I48" i="22" s="1"/>
  <c r="I44" i="22" a="1"/>
  <c r="I44" i="22" s="1"/>
  <c r="I49" i="22" s="1"/>
  <c r="I43" i="22" a="1"/>
  <c r="I43" i="22" s="1"/>
  <c r="I50" i="22" s="1"/>
  <c r="I51" i="22"/>
  <c r="I52" i="22"/>
  <c r="I33" i="22"/>
  <c r="I34" i="22"/>
  <c r="I28" i="22" a="1"/>
  <c r="I28" i="22" s="1"/>
  <c r="I35" i="22" s="1"/>
  <c r="I36" i="22"/>
  <c r="I26" i="22" a="1"/>
  <c r="I26" i="22" s="1"/>
  <c r="I37" i="22" s="1"/>
  <c r="I12" i="22" a="1"/>
  <c r="I12" i="22" s="1"/>
  <c r="J12" i="22" s="1" a="1"/>
  <c r="J12" i="22" s="1"/>
  <c r="I13" i="22" a="1"/>
  <c r="I13" i="22" s="1"/>
  <c r="I14" i="22" a="1"/>
  <c r="I14" i="22" s="1"/>
  <c r="I15" i="22" a="1"/>
  <c r="I15" i="22" s="1"/>
  <c r="I11" i="22" a="1"/>
  <c r="I11" i="22" s="1"/>
  <c r="L11" i="22" s="1" a="1"/>
  <c r="L11" i="22" s="1"/>
  <c r="A133" i="21"/>
  <c r="A121" i="21"/>
  <c r="A131" i="21" s="1"/>
  <c r="A122" i="21"/>
  <c r="A132" i="21" s="1"/>
  <c r="A123" i="21"/>
  <c r="A124" i="21"/>
  <c r="A134" i="21" s="1"/>
  <c r="A125" i="21"/>
  <c r="A120" i="21"/>
  <c r="A130" i="21" s="1"/>
  <c r="Y10" i="22"/>
  <c r="N46" i="22"/>
  <c r="M20" i="22"/>
  <c r="M21" i="22"/>
  <c r="M22" i="22"/>
  <c r="M19" i="22"/>
  <c r="M18" i="22"/>
  <c r="T58" i="28" l="1"/>
  <c r="Z58" i="28" s="1"/>
  <c r="Z72" i="28"/>
  <c r="X72" i="28"/>
  <c r="Y72" i="28"/>
  <c r="O67" i="28"/>
  <c r="R67" i="28" s="1"/>
  <c r="R66" i="28"/>
  <c r="S66" i="28" s="1"/>
  <c r="N21" i="28"/>
  <c r="N15" i="28"/>
  <c r="O20" i="28"/>
  <c r="R19" i="28"/>
  <c r="S19" i="28" s="1"/>
  <c r="Y64" i="28"/>
  <c r="Z64" i="28"/>
  <c r="Y86" i="28"/>
  <c r="X86" i="28"/>
  <c r="Z86" i="28"/>
  <c r="AA97" i="28"/>
  <c r="T65" i="28"/>
  <c r="P65" i="28"/>
  <c r="T18" i="28"/>
  <c r="P18" i="28"/>
  <c r="Y78" i="28"/>
  <c r="X78" i="28"/>
  <c r="Z78" i="28"/>
  <c r="R74" i="28"/>
  <c r="S74" i="28" s="1"/>
  <c r="O75" i="28"/>
  <c r="R75" i="28" s="1"/>
  <c r="Z49" i="28"/>
  <c r="X49" i="28"/>
  <c r="W98" i="28"/>
  <c r="V98" i="28" s="1"/>
  <c r="P73" i="28"/>
  <c r="T73" i="28"/>
  <c r="S60" i="28"/>
  <c r="X64" i="28"/>
  <c r="O27" i="28"/>
  <c r="R26" i="28"/>
  <c r="S26" i="28" s="1"/>
  <c r="O12" i="28"/>
  <c r="R11" i="28"/>
  <c r="S11" i="28" s="1"/>
  <c r="O42" i="28"/>
  <c r="R41" i="28"/>
  <c r="S41" i="28" s="1"/>
  <c r="W23" i="28"/>
  <c r="V23" i="28" s="1"/>
  <c r="R34" i="28"/>
  <c r="S34" i="28" s="1"/>
  <c r="O35" i="28"/>
  <c r="AA37" i="28"/>
  <c r="P87" i="28"/>
  <c r="T87" i="28"/>
  <c r="T79" i="28"/>
  <c r="P79" i="28"/>
  <c r="P93" i="28"/>
  <c r="T93" i="28"/>
  <c r="T59" i="28"/>
  <c r="P59" i="28"/>
  <c r="T50" i="28"/>
  <c r="P50" i="28"/>
  <c r="AA82" i="28"/>
  <c r="T33" i="28"/>
  <c r="P33" i="28"/>
  <c r="R88" i="28"/>
  <c r="S88" i="28" s="1"/>
  <c r="O89" i="28"/>
  <c r="O81" i="28"/>
  <c r="R80" i="28"/>
  <c r="S80" i="28" s="1"/>
  <c r="O95" i="28"/>
  <c r="R94" i="28"/>
  <c r="S94" i="28" s="1"/>
  <c r="R51" i="28"/>
  <c r="S51" i="28" s="1"/>
  <c r="O52" i="28"/>
  <c r="R52" i="28" s="1"/>
  <c r="M38" i="22"/>
  <c r="U37" i="22" s="1"/>
  <c r="V37" i="22" s="1"/>
  <c r="M98" i="22"/>
  <c r="U94" i="22" s="1"/>
  <c r="V94" i="22" s="1"/>
  <c r="M83" i="22"/>
  <c r="U78" i="22" s="1"/>
  <c r="V78" i="22" s="1"/>
  <c r="W78" i="22" s="1"/>
  <c r="M68" i="22"/>
  <c r="U65" i="22" s="1"/>
  <c r="V65" i="22" s="1"/>
  <c r="M53" i="22"/>
  <c r="M23" i="22"/>
  <c r="J11" i="22" a="1"/>
  <c r="J11" i="22" s="1"/>
  <c r="J22" i="22" s="1"/>
  <c r="K11" i="22" a="1"/>
  <c r="K11" i="22" s="1"/>
  <c r="K22" i="22" s="1"/>
  <c r="L90" i="22" a="1"/>
  <c r="L90" i="22" s="1"/>
  <c r="L93" i="22" s="1"/>
  <c r="K90" i="22" a="1"/>
  <c r="K90" i="22" s="1"/>
  <c r="K93" i="22" s="1"/>
  <c r="J90" i="22" a="1"/>
  <c r="J90" i="22" s="1"/>
  <c r="J93" i="22" s="1"/>
  <c r="L87" i="22" a="1"/>
  <c r="L87" i="22" s="1"/>
  <c r="L96" i="22" s="1"/>
  <c r="K87" i="22" a="1"/>
  <c r="K87" i="22" s="1"/>
  <c r="K96" i="22" s="1"/>
  <c r="J87" i="22" a="1"/>
  <c r="J87" i="22" s="1"/>
  <c r="L86" i="22" a="1"/>
  <c r="L86" i="22" s="1"/>
  <c r="L97" i="22" s="1"/>
  <c r="K86" i="22" a="1"/>
  <c r="K86" i="22" s="1"/>
  <c r="K97" i="22" s="1"/>
  <c r="J86" i="22" a="1"/>
  <c r="J86" i="22" s="1"/>
  <c r="L88" i="22" a="1"/>
  <c r="L88" i="22" s="1"/>
  <c r="L95" i="22" s="1"/>
  <c r="K88" i="22" a="1"/>
  <c r="K88" i="22" s="1"/>
  <c r="K95" i="22" s="1"/>
  <c r="J88" i="22" a="1"/>
  <c r="J88" i="22" s="1"/>
  <c r="L89" i="22" a="1"/>
  <c r="L89" i="22" s="1"/>
  <c r="L94" i="22" s="1"/>
  <c r="K89" i="22" a="1"/>
  <c r="K89" i="22" s="1"/>
  <c r="K94" i="22" s="1"/>
  <c r="J89" i="22" a="1"/>
  <c r="J89" i="22" s="1"/>
  <c r="J94" i="22" s="1"/>
  <c r="L73" i="22" a="1"/>
  <c r="L73" i="22" s="1"/>
  <c r="L80" i="22" s="1"/>
  <c r="J73" i="22" a="1"/>
  <c r="J73" i="22" s="1"/>
  <c r="J80" i="22" s="1"/>
  <c r="Q80" i="22" s="1"/>
  <c r="K73" i="22" a="1"/>
  <c r="K73" i="22" s="1"/>
  <c r="K80" i="22" s="1"/>
  <c r="L74" i="22" a="1"/>
  <c r="L74" i="22" s="1"/>
  <c r="L79" i="22" s="1"/>
  <c r="J74" i="22" a="1"/>
  <c r="J74" i="22" s="1"/>
  <c r="J79" i="22" s="1"/>
  <c r="K74" i="22" a="1"/>
  <c r="K74" i="22" s="1"/>
  <c r="K79" i="22" s="1"/>
  <c r="L75" i="22" a="1"/>
  <c r="L75" i="22" s="1"/>
  <c r="L78" i="22" s="1"/>
  <c r="K75" i="22" a="1"/>
  <c r="K75" i="22" s="1"/>
  <c r="K78" i="22" s="1"/>
  <c r="J75" i="22" a="1"/>
  <c r="J75" i="22" s="1"/>
  <c r="J78" i="22" s="1"/>
  <c r="L71" i="22" a="1"/>
  <c r="L71" i="22" s="1"/>
  <c r="L82" i="22" s="1"/>
  <c r="J71" i="22" a="1"/>
  <c r="J71" i="22" s="1"/>
  <c r="K71" i="22" a="1"/>
  <c r="K71" i="22" s="1"/>
  <c r="K82" i="22" s="1"/>
  <c r="L72" i="22" a="1"/>
  <c r="L72" i="22" s="1"/>
  <c r="L81" i="22" s="1"/>
  <c r="K72" i="22" a="1"/>
  <c r="K72" i="22" s="1"/>
  <c r="K81" i="22" s="1"/>
  <c r="J72" i="22" a="1"/>
  <c r="J72" i="22" s="1"/>
  <c r="L58" i="22" a="1"/>
  <c r="L58" i="22" s="1"/>
  <c r="L65" i="22" s="1"/>
  <c r="K58" i="22" a="1"/>
  <c r="K58" i="22" s="1"/>
  <c r="K65" i="22" s="1"/>
  <c r="J58" i="22" a="1"/>
  <c r="J58" i="22" s="1"/>
  <c r="L59" i="22" a="1"/>
  <c r="L59" i="22" s="1"/>
  <c r="L64" i="22" s="1"/>
  <c r="K59" i="22" a="1"/>
  <c r="K59" i="22" s="1"/>
  <c r="K64" i="22" s="1"/>
  <c r="J59" i="22" a="1"/>
  <c r="J59" i="22" s="1"/>
  <c r="J64" i="22" s="1"/>
  <c r="L60" i="22" a="1"/>
  <c r="L60" i="22" s="1"/>
  <c r="L63" i="22" s="1"/>
  <c r="K60" i="22" a="1"/>
  <c r="K60" i="22" s="1"/>
  <c r="K63" i="22" s="1"/>
  <c r="J60" i="22" a="1"/>
  <c r="J60" i="22" s="1"/>
  <c r="J63" i="22" s="1"/>
  <c r="L56" i="22" a="1"/>
  <c r="L56" i="22" s="1"/>
  <c r="L67" i="22" s="1"/>
  <c r="K56" i="22" a="1"/>
  <c r="K56" i="22" s="1"/>
  <c r="K67" i="22" s="1"/>
  <c r="J56" i="22" a="1"/>
  <c r="J56" i="22" s="1"/>
  <c r="J67" i="22" s="1"/>
  <c r="Q67" i="22" s="1"/>
  <c r="L57" i="22" a="1"/>
  <c r="L57" i="22" s="1"/>
  <c r="L66" i="22" s="1"/>
  <c r="K57" i="22" a="1"/>
  <c r="K57" i="22" s="1"/>
  <c r="K66" i="22" s="1"/>
  <c r="J57" i="22" a="1"/>
  <c r="J57" i="22" s="1"/>
  <c r="L41" i="22" a="1"/>
  <c r="L41" i="22" s="1"/>
  <c r="L52" i="22" s="1"/>
  <c r="K41" i="22" a="1"/>
  <c r="K41" i="22" s="1"/>
  <c r="K52" i="22" s="1"/>
  <c r="J41" i="22" a="1"/>
  <c r="J41" i="22" s="1"/>
  <c r="L42" i="22" a="1"/>
  <c r="L42" i="22" s="1"/>
  <c r="L51" i="22" s="1"/>
  <c r="K42" i="22" a="1"/>
  <c r="K42" i="22" s="1"/>
  <c r="K51" i="22" s="1"/>
  <c r="J42" i="22" a="1"/>
  <c r="J42" i="22" s="1"/>
  <c r="L44" i="22" a="1"/>
  <c r="L44" i="22" s="1"/>
  <c r="L49" i="22" s="1"/>
  <c r="K44" i="22" a="1"/>
  <c r="K44" i="22" s="1"/>
  <c r="K49" i="22" s="1"/>
  <c r="J44" i="22" a="1"/>
  <c r="J44" i="22" s="1"/>
  <c r="J49" i="22" s="1"/>
  <c r="Q49" i="22" s="1"/>
  <c r="L43" i="22" a="1"/>
  <c r="L43" i="22" s="1"/>
  <c r="L50" i="22" s="1"/>
  <c r="K43" i="22" a="1"/>
  <c r="K43" i="22" s="1"/>
  <c r="K50" i="22" s="1"/>
  <c r="J43" i="22" a="1"/>
  <c r="J43" i="22" s="1"/>
  <c r="L45" i="22" a="1"/>
  <c r="L45" i="22" s="1"/>
  <c r="L48" i="22" s="1"/>
  <c r="K45" i="22" a="1"/>
  <c r="K45" i="22" s="1"/>
  <c r="K48" i="22" s="1"/>
  <c r="J45" i="22" a="1"/>
  <c r="J45" i="22" s="1"/>
  <c r="J48" i="22" s="1"/>
  <c r="L29" i="22" a="1"/>
  <c r="L29" i="22" s="1"/>
  <c r="L34" i="22" s="1"/>
  <c r="K29" i="22" a="1"/>
  <c r="K29" i="22" s="1"/>
  <c r="K34" i="22" s="1"/>
  <c r="J29" i="22" a="1"/>
  <c r="J29" i="22" s="1"/>
  <c r="J34" i="22" s="1"/>
  <c r="L30" i="22" a="1"/>
  <c r="L30" i="22" s="1"/>
  <c r="L33" i="22" s="1"/>
  <c r="K30" i="22" a="1"/>
  <c r="K30" i="22" s="1"/>
  <c r="K33" i="22" s="1"/>
  <c r="J30" i="22" a="1"/>
  <c r="J30" i="22" s="1"/>
  <c r="J33" i="22" s="1"/>
  <c r="L26" i="22" a="1"/>
  <c r="L26" i="22" s="1"/>
  <c r="L37" i="22" s="1"/>
  <c r="K26" i="22" a="1"/>
  <c r="K26" i="22" s="1"/>
  <c r="K37" i="22" s="1"/>
  <c r="J26" i="22" a="1"/>
  <c r="J26" i="22" s="1"/>
  <c r="L27" i="22" a="1"/>
  <c r="L27" i="22" s="1"/>
  <c r="L36" i="22" s="1"/>
  <c r="K27" i="22" a="1"/>
  <c r="K27" i="22" s="1"/>
  <c r="K36" i="22" s="1"/>
  <c r="J27" i="22" a="1"/>
  <c r="J27" i="22" s="1"/>
  <c r="J36" i="22" s="1"/>
  <c r="Q36" i="22" s="1"/>
  <c r="L28" i="22" a="1"/>
  <c r="L28" i="22" s="1"/>
  <c r="L35" i="22" s="1"/>
  <c r="J28" i="22" a="1"/>
  <c r="J28" i="22" s="1"/>
  <c r="K28" i="22" a="1"/>
  <c r="K28" i="22" s="1"/>
  <c r="K35" i="22" s="1"/>
  <c r="J13" i="22" a="1"/>
  <c r="J13" i="22" s="1"/>
  <c r="J20" i="22" s="1"/>
  <c r="L13" i="22" a="1"/>
  <c r="L13" i="22" s="1"/>
  <c r="L20" i="22" s="1"/>
  <c r="K13" i="22" a="1"/>
  <c r="K13" i="22" s="1"/>
  <c r="K20" i="22" s="1"/>
  <c r="K12" i="22" a="1"/>
  <c r="K12" i="22" s="1"/>
  <c r="K21" i="22" s="1"/>
  <c r="L12" i="22" a="1"/>
  <c r="L12" i="22" s="1"/>
  <c r="L21" i="22" s="1"/>
  <c r="J15" i="22" a="1"/>
  <c r="J15" i="22" s="1"/>
  <c r="J18" i="22" s="1"/>
  <c r="Q18" i="22" s="1"/>
  <c r="O18" i="22" s="1"/>
  <c r="L15" i="22" a="1"/>
  <c r="L15" i="22" s="1"/>
  <c r="L18" i="22" s="1"/>
  <c r="K15" i="22" a="1"/>
  <c r="K15" i="22" s="1"/>
  <c r="K18" i="22" s="1"/>
  <c r="J14" i="22" a="1"/>
  <c r="J14" i="22" s="1"/>
  <c r="J19" i="22" s="1"/>
  <c r="Q19" i="22" s="1"/>
  <c r="K14" i="22" a="1"/>
  <c r="K14" i="22" s="1"/>
  <c r="K19" i="22" s="1"/>
  <c r="L14" i="22" a="1"/>
  <c r="L14" i="22" s="1"/>
  <c r="L19" i="22" s="1"/>
  <c r="I22" i="22"/>
  <c r="L22" i="22"/>
  <c r="I21" i="22"/>
  <c r="I18" i="22"/>
  <c r="I20" i="22"/>
  <c r="I19" i="22"/>
  <c r="AH28" i="22"/>
  <c r="AI28" i="22" s="1"/>
  <c r="AH27" i="22"/>
  <c r="AI27" i="22" s="1"/>
  <c r="AH26" i="22"/>
  <c r="AI26" i="22" s="1"/>
  <c r="AH25" i="22"/>
  <c r="AI25" i="22" s="1"/>
  <c r="AH23" i="22"/>
  <c r="AI23" i="22" s="1"/>
  <c r="AH22" i="22"/>
  <c r="AI22" i="22" s="1"/>
  <c r="AH21" i="22"/>
  <c r="AI21" i="22" s="1"/>
  <c r="AH20" i="22"/>
  <c r="AI20" i="22" s="1"/>
  <c r="AH19" i="22"/>
  <c r="AI19" i="22" s="1"/>
  <c r="AH18" i="22"/>
  <c r="AI18" i="22" s="1"/>
  <c r="AH17" i="22"/>
  <c r="AI17" i="22" s="1"/>
  <c r="AH16" i="22"/>
  <c r="AI16" i="22" s="1"/>
  <c r="N31" i="22"/>
  <c r="Q94" i="22"/>
  <c r="Q93" i="22"/>
  <c r="Q90" i="22"/>
  <c r="Q89" i="22"/>
  <c r="Q79" i="22"/>
  <c r="Q78" i="22"/>
  <c r="Q75" i="22"/>
  <c r="Q74" i="22"/>
  <c r="Q64" i="22"/>
  <c r="Q63" i="22"/>
  <c r="Q60" i="22"/>
  <c r="Q59" i="22"/>
  <c r="Q48" i="22"/>
  <c r="O48" i="22" s="1"/>
  <c r="R48" i="22" s="1"/>
  <c r="S48" i="22" s="1"/>
  <c r="Q45" i="22"/>
  <c r="Q34" i="22"/>
  <c r="Q33" i="22"/>
  <c r="Q30" i="22"/>
  <c r="Q29" i="22"/>
  <c r="N87" i="22"/>
  <c r="N72" i="22"/>
  <c r="N57" i="22"/>
  <c r="N42" i="22"/>
  <c r="N98" i="22"/>
  <c r="N91" i="22"/>
  <c r="N83" i="22"/>
  <c r="N76" i="22"/>
  <c r="N68" i="22"/>
  <c r="N61" i="22"/>
  <c r="N53" i="22"/>
  <c r="N38" i="22"/>
  <c r="N16" i="22"/>
  <c r="Y58" i="28" l="1"/>
  <c r="S75" i="28"/>
  <c r="X58" i="28"/>
  <c r="S52" i="28"/>
  <c r="O82" i="28"/>
  <c r="R82" i="28" s="1"/>
  <c r="R81" i="28"/>
  <c r="S81" i="28" s="1"/>
  <c r="O90" i="28"/>
  <c r="R90" i="28" s="1"/>
  <c r="R89" i="28"/>
  <c r="S89" i="28" s="1"/>
  <c r="T60" i="28"/>
  <c r="T61" i="28" s="1"/>
  <c r="P60" i="28"/>
  <c r="P61" i="28" s="1"/>
  <c r="S67" i="28"/>
  <c r="T88" i="28"/>
  <c r="P88" i="28"/>
  <c r="Y59" i="28"/>
  <c r="Z59" i="28"/>
  <c r="X59" i="28"/>
  <c r="O13" i="28"/>
  <c r="R12" i="28"/>
  <c r="S12" i="28" s="1"/>
  <c r="T19" i="28"/>
  <c r="P19" i="28"/>
  <c r="X50" i="28"/>
  <c r="Y50" i="28"/>
  <c r="Z50" i="28"/>
  <c r="T66" i="28"/>
  <c r="P66" i="28"/>
  <c r="P51" i="28"/>
  <c r="T51" i="28"/>
  <c r="P11" i="28"/>
  <c r="T11" i="28"/>
  <c r="Z93" i="28"/>
  <c r="Y93" i="28"/>
  <c r="X93" i="28"/>
  <c r="O36" i="28"/>
  <c r="R35" i="28"/>
  <c r="S35" i="28" s="1"/>
  <c r="Z73" i="28"/>
  <c r="Y73" i="28"/>
  <c r="X73" i="28"/>
  <c r="O21" i="28"/>
  <c r="R20" i="28"/>
  <c r="S20" i="28" s="1"/>
  <c r="Y33" i="28"/>
  <c r="Z33" i="28"/>
  <c r="X33" i="28"/>
  <c r="T34" i="28"/>
  <c r="P34" i="28"/>
  <c r="Z18" i="28"/>
  <c r="Y18" i="28"/>
  <c r="X18" i="28"/>
  <c r="T94" i="28"/>
  <c r="P94" i="28"/>
  <c r="T26" i="28"/>
  <c r="P26" i="28"/>
  <c r="T74" i="28"/>
  <c r="P74" i="28"/>
  <c r="O96" i="28"/>
  <c r="R95" i="28"/>
  <c r="S95" i="28" s="1"/>
  <c r="Z79" i="28"/>
  <c r="Y79" i="28"/>
  <c r="X79" i="28"/>
  <c r="T41" i="28"/>
  <c r="P41" i="28"/>
  <c r="O28" i="28"/>
  <c r="R27" i="28"/>
  <c r="S27" i="28" s="1"/>
  <c r="Z65" i="28"/>
  <c r="X65" i="28"/>
  <c r="Y65" i="28"/>
  <c r="N22" i="28"/>
  <c r="P75" i="28"/>
  <c r="P80" i="28"/>
  <c r="T80" i="28"/>
  <c r="Z87" i="28"/>
  <c r="X87" i="28"/>
  <c r="Y87" i="28"/>
  <c r="R42" i="28"/>
  <c r="S42" i="28" s="1"/>
  <c r="O43" i="28"/>
  <c r="Q44" i="22"/>
  <c r="J81" i="22"/>
  <c r="Q81" i="22" s="1"/>
  <c r="J96" i="22"/>
  <c r="Q96" i="22" s="1"/>
  <c r="J95" i="22"/>
  <c r="Q95" i="22" s="1"/>
  <c r="J82" i="22"/>
  <c r="Q82" i="22" s="1"/>
  <c r="J65" i="22"/>
  <c r="Q65" i="22" s="1"/>
  <c r="J97" i="22"/>
  <c r="Q97" i="22" s="1"/>
  <c r="J66" i="22"/>
  <c r="Q66" i="22" s="1"/>
  <c r="N19" i="22"/>
  <c r="J51" i="22"/>
  <c r="Q51" i="22" s="1"/>
  <c r="J50" i="22"/>
  <c r="Q50" i="22" s="1"/>
  <c r="J52" i="22"/>
  <c r="Q52" i="22" s="1"/>
  <c r="Q28" i="22"/>
  <c r="J35" i="22"/>
  <c r="Q35" i="22" s="1"/>
  <c r="J37" i="22"/>
  <c r="Q37" i="22" s="1"/>
  <c r="N88" i="22"/>
  <c r="N94" i="22"/>
  <c r="N73" i="22"/>
  <c r="N79" i="22"/>
  <c r="N58" i="22"/>
  <c r="N64" i="22"/>
  <c r="N43" i="22"/>
  <c r="N49" i="22"/>
  <c r="Q15" i="22"/>
  <c r="Q14" i="22"/>
  <c r="U80" i="22"/>
  <c r="V80" i="22" s="1"/>
  <c r="Q12" i="22"/>
  <c r="J21" i="22"/>
  <c r="Q21" i="22" s="1"/>
  <c r="Q20" i="22"/>
  <c r="Q22" i="22"/>
  <c r="Q71" i="22"/>
  <c r="O71" i="22" s="1"/>
  <c r="R71" i="22" s="1"/>
  <c r="S71" i="22" s="1"/>
  <c r="P71" i="22" s="1"/>
  <c r="Q42" i="22"/>
  <c r="Q72" i="22"/>
  <c r="Q73" i="22"/>
  <c r="Q57" i="22"/>
  <c r="Q56" i="22"/>
  <c r="O56" i="22" s="1"/>
  <c r="Q13" i="22"/>
  <c r="Q86" i="22"/>
  <c r="Q87" i="22"/>
  <c r="Q88" i="22"/>
  <c r="Q58" i="22"/>
  <c r="Q41" i="22"/>
  <c r="O41" i="22" s="1"/>
  <c r="Q43" i="22"/>
  <c r="Q27" i="22"/>
  <c r="Q26" i="22"/>
  <c r="Q11" i="22"/>
  <c r="O11" i="22" s="1"/>
  <c r="R11" i="22" s="1"/>
  <c r="N23" i="22"/>
  <c r="N5" i="22" s="1"/>
  <c r="U97" i="22"/>
  <c r="V97" i="22" s="1"/>
  <c r="U87" i="22"/>
  <c r="V87" i="22" s="1"/>
  <c r="U86" i="22"/>
  <c r="V86" i="22" s="1"/>
  <c r="W86" i="22" s="1"/>
  <c r="U88" i="22"/>
  <c r="V88" i="22" s="1"/>
  <c r="U90" i="22"/>
  <c r="V90" i="22" s="1"/>
  <c r="U89" i="22"/>
  <c r="V89" i="22" s="1"/>
  <c r="U95" i="22"/>
  <c r="V95" i="22" s="1"/>
  <c r="W95" i="22" s="1"/>
  <c r="U72" i="22"/>
  <c r="V72" i="22" s="1"/>
  <c r="U71" i="22"/>
  <c r="V71" i="22" s="1"/>
  <c r="W71" i="22" s="1"/>
  <c r="U75" i="22"/>
  <c r="V75" i="22" s="1"/>
  <c r="U74" i="22"/>
  <c r="V74" i="22" s="1"/>
  <c r="U73" i="22"/>
  <c r="V73" i="22" s="1"/>
  <c r="U81" i="22"/>
  <c r="V81" i="22" s="1"/>
  <c r="U58" i="22"/>
  <c r="V58" i="22" s="1"/>
  <c r="U57" i="22"/>
  <c r="V57" i="22" s="1"/>
  <c r="U56" i="22"/>
  <c r="V56" i="22" s="1"/>
  <c r="W56" i="22" s="1"/>
  <c r="U60" i="22"/>
  <c r="V60" i="22" s="1"/>
  <c r="U59" i="22"/>
  <c r="V59" i="22" s="1"/>
  <c r="U67" i="22"/>
  <c r="V67" i="22" s="1"/>
  <c r="U42" i="22"/>
  <c r="V42" i="22" s="1"/>
  <c r="U43" i="22"/>
  <c r="V43" i="22" s="1"/>
  <c r="U45" i="22"/>
  <c r="V45" i="22" s="1"/>
  <c r="U41" i="22"/>
  <c r="V41" i="22" s="1"/>
  <c r="W41" i="22" s="1"/>
  <c r="U44" i="22"/>
  <c r="V44" i="22" s="1"/>
  <c r="U36" i="22"/>
  <c r="V36" i="22" s="1"/>
  <c r="W37" i="22" s="1"/>
  <c r="U29" i="22"/>
  <c r="V29" i="22" s="1"/>
  <c r="U28" i="22"/>
  <c r="V28" i="22" s="1"/>
  <c r="U27" i="22"/>
  <c r="V27" i="22" s="1"/>
  <c r="U26" i="22"/>
  <c r="V26" i="22" s="1"/>
  <c r="W26" i="22" s="1"/>
  <c r="U30" i="22"/>
  <c r="V30" i="22" s="1"/>
  <c r="U35" i="22"/>
  <c r="V35" i="22" s="1"/>
  <c r="U93" i="22"/>
  <c r="V93" i="22" s="1"/>
  <c r="W93" i="22" s="1"/>
  <c r="U96" i="22"/>
  <c r="V96" i="22" s="1"/>
  <c r="W96" i="22" s="1"/>
  <c r="U79" i="22"/>
  <c r="V79" i="22" s="1"/>
  <c r="W79" i="22" s="1"/>
  <c r="U82" i="22"/>
  <c r="V82" i="22" s="1"/>
  <c r="U64" i="22"/>
  <c r="V64" i="22" s="1"/>
  <c r="U63" i="22"/>
  <c r="V63" i="22" s="1"/>
  <c r="W63" i="22" s="1"/>
  <c r="U66" i="22"/>
  <c r="V66" i="22" s="1"/>
  <c r="W66" i="22" s="1"/>
  <c r="U50" i="22"/>
  <c r="V50" i="22" s="1"/>
  <c r="U49" i="22"/>
  <c r="V49" i="22" s="1"/>
  <c r="U48" i="22"/>
  <c r="V48" i="22" s="1"/>
  <c r="W48" i="22" s="1"/>
  <c r="U52" i="22"/>
  <c r="V52" i="22" s="1"/>
  <c r="U51" i="22"/>
  <c r="V51" i="22" s="1"/>
  <c r="U34" i="22"/>
  <c r="V34" i="22" s="1"/>
  <c r="U33" i="22"/>
  <c r="V33" i="22" s="1"/>
  <c r="W33" i="22" s="1"/>
  <c r="U21" i="22"/>
  <c r="V21" i="22" s="1"/>
  <c r="U20" i="22"/>
  <c r="V20" i="22" s="1"/>
  <c r="U19" i="22"/>
  <c r="V19" i="22" s="1"/>
  <c r="U18" i="22"/>
  <c r="V18" i="22" s="1"/>
  <c r="W18" i="22" s="1"/>
  <c r="U22" i="22"/>
  <c r="V22" i="22" s="1"/>
  <c r="U12" i="22"/>
  <c r="V12" i="22" s="1"/>
  <c r="U13" i="22"/>
  <c r="V13" i="22" s="1"/>
  <c r="U11" i="22"/>
  <c r="V11" i="22" s="1"/>
  <c r="W11" i="22" s="1"/>
  <c r="U15" i="22"/>
  <c r="V15" i="22" s="1"/>
  <c r="U14" i="22"/>
  <c r="V14" i="22" s="1"/>
  <c r="N27" i="22"/>
  <c r="O93" i="22"/>
  <c r="O78" i="22"/>
  <c r="O63" i="22"/>
  <c r="T48" i="22"/>
  <c r="X48" i="22" s="1"/>
  <c r="P48" i="22"/>
  <c r="O49" i="22"/>
  <c r="O33" i="22"/>
  <c r="R18" i="22"/>
  <c r="S18" i="22" s="1"/>
  <c r="O19" i="22"/>
  <c r="T75" i="28" l="1"/>
  <c r="X75" i="28" s="1"/>
  <c r="P76" i="28"/>
  <c r="S90" i="28"/>
  <c r="P90" i="28" s="1"/>
  <c r="T52" i="28"/>
  <c r="Y52" i="28" s="1"/>
  <c r="P52" i="28"/>
  <c r="P53" i="28" s="1"/>
  <c r="T42" i="28"/>
  <c r="P42" i="28"/>
  <c r="P95" i="28"/>
  <c r="T95" i="28"/>
  <c r="T35" i="28"/>
  <c r="P35" i="28"/>
  <c r="X60" i="28"/>
  <c r="X61" i="28" s="1"/>
  <c r="Y60" i="28"/>
  <c r="Z60" i="28"/>
  <c r="Z61" i="28" s="1"/>
  <c r="O44" i="28"/>
  <c r="R43" i="28"/>
  <c r="S43" i="28" s="1"/>
  <c r="Z94" i="28"/>
  <c r="Y94" i="28"/>
  <c r="X94" i="28"/>
  <c r="O14" i="28"/>
  <c r="R13" i="28"/>
  <c r="S13" i="28" s="1"/>
  <c r="P27" i="28"/>
  <c r="T27" i="28"/>
  <c r="O97" i="28"/>
  <c r="R97" i="28" s="1"/>
  <c r="R96" i="28"/>
  <c r="S96" i="28" s="1"/>
  <c r="O37" i="28"/>
  <c r="R37" i="28" s="1"/>
  <c r="R36" i="28"/>
  <c r="S36" i="28" s="1"/>
  <c r="Z11" i="28"/>
  <c r="X11" i="28"/>
  <c r="Y11" i="28"/>
  <c r="T89" i="28"/>
  <c r="P89" i="28"/>
  <c r="R28" i="28"/>
  <c r="S28" i="28" s="1"/>
  <c r="O29" i="28"/>
  <c r="AA18" i="28"/>
  <c r="P20" i="28"/>
  <c r="T20" i="28"/>
  <c r="Z80" i="28"/>
  <c r="Y80" i="28"/>
  <c r="X80" i="28"/>
  <c r="Z74" i="28"/>
  <c r="X74" i="28"/>
  <c r="Y74" i="28"/>
  <c r="O22" i="28"/>
  <c r="R22" i="28" s="1"/>
  <c r="R21" i="28"/>
  <c r="S21" i="28" s="1"/>
  <c r="X51" i="28"/>
  <c r="Y51" i="28"/>
  <c r="Z51" i="28"/>
  <c r="Y41" i="28"/>
  <c r="X41" i="28"/>
  <c r="Z41" i="28"/>
  <c r="X19" i="28"/>
  <c r="Z19" i="28"/>
  <c r="AA19" i="28" s="1"/>
  <c r="Y19" i="28"/>
  <c r="T81" i="28"/>
  <c r="P81" i="28"/>
  <c r="Y26" i="28"/>
  <c r="Z26" i="28"/>
  <c r="X26" i="28"/>
  <c r="Z34" i="28"/>
  <c r="Y34" i="28"/>
  <c r="X34" i="28"/>
  <c r="X88" i="28"/>
  <c r="Z88" i="28"/>
  <c r="Y88" i="28"/>
  <c r="S82" i="28"/>
  <c r="X66" i="28"/>
  <c r="Z66" i="28"/>
  <c r="Y66" i="28"/>
  <c r="T12" i="28"/>
  <c r="P12" i="28"/>
  <c r="P67" i="28"/>
  <c r="P68" i="28" s="1"/>
  <c r="T67" i="28"/>
  <c r="T68" i="28" s="1"/>
  <c r="W90" i="22"/>
  <c r="W88" i="22"/>
  <c r="W67" i="22"/>
  <c r="W59" i="22"/>
  <c r="W51" i="22"/>
  <c r="W49" i="22"/>
  <c r="W64" i="22"/>
  <c r="W57" i="22"/>
  <c r="W42" i="22"/>
  <c r="W27" i="22"/>
  <c r="Q68" i="22"/>
  <c r="Q83" i="22"/>
  <c r="W82" i="22"/>
  <c r="W72" i="22"/>
  <c r="W81" i="22"/>
  <c r="W73" i="22"/>
  <c r="W20" i="22"/>
  <c r="W22" i="22"/>
  <c r="Q98" i="22"/>
  <c r="W43" i="22"/>
  <c r="W75" i="22"/>
  <c r="W87" i="22"/>
  <c r="W80" i="22"/>
  <c r="W60" i="22"/>
  <c r="W97" i="22"/>
  <c r="W94" i="22"/>
  <c r="W74" i="22"/>
  <c r="W14" i="22"/>
  <c r="W45" i="22"/>
  <c r="W58" i="22"/>
  <c r="W89" i="22"/>
  <c r="N20" i="22"/>
  <c r="W65" i="22"/>
  <c r="Q38" i="22"/>
  <c r="W28" i="22"/>
  <c r="W29" i="22"/>
  <c r="W36" i="22"/>
  <c r="W52" i="22"/>
  <c r="W44" i="22"/>
  <c r="W50" i="22"/>
  <c r="Q53" i="22"/>
  <c r="W12" i="22"/>
  <c r="W15" i="22"/>
  <c r="W21" i="22"/>
  <c r="W19" i="22"/>
  <c r="W35" i="22"/>
  <c r="W30" i="22"/>
  <c r="W34" i="22"/>
  <c r="N89" i="22"/>
  <c r="N95" i="22"/>
  <c r="N74" i="22"/>
  <c r="N80" i="22"/>
  <c r="N59" i="22"/>
  <c r="N65" i="22"/>
  <c r="N44" i="22"/>
  <c r="N50" i="22"/>
  <c r="N28" i="22"/>
  <c r="N34" i="22"/>
  <c r="Q23" i="22"/>
  <c r="Q91" i="22"/>
  <c r="Q31" i="22"/>
  <c r="O72" i="22"/>
  <c r="R72" i="22" s="1"/>
  <c r="S72" i="22" s="1"/>
  <c r="T71" i="22"/>
  <c r="X71" i="22" s="1"/>
  <c r="Q61" i="22"/>
  <c r="Q76" i="22"/>
  <c r="O42" i="22"/>
  <c r="R42" i="22" s="1"/>
  <c r="Y48" i="22"/>
  <c r="Q46" i="22"/>
  <c r="O86" i="22"/>
  <c r="R86" i="22" s="1"/>
  <c r="S86" i="22" s="1"/>
  <c r="R41" i="22"/>
  <c r="S41" i="22" s="1"/>
  <c r="P41" i="22" s="1"/>
  <c r="O26" i="22"/>
  <c r="O27" i="22" s="1"/>
  <c r="Q16" i="22"/>
  <c r="W13" i="22"/>
  <c r="O12" i="22"/>
  <c r="R12" i="22" s="1"/>
  <c r="S12" i="22" s="1"/>
  <c r="O94" i="22"/>
  <c r="R93" i="22"/>
  <c r="S93" i="22" s="1"/>
  <c r="R78" i="22"/>
  <c r="S78" i="22" s="1"/>
  <c r="O79" i="22"/>
  <c r="O64" i="22"/>
  <c r="R63" i="22"/>
  <c r="S63" i="22" s="1"/>
  <c r="O57" i="22"/>
  <c r="R56" i="22"/>
  <c r="S56" i="22" s="1"/>
  <c r="R49" i="22"/>
  <c r="S49" i="22" s="1"/>
  <c r="O50" i="22"/>
  <c r="Z48" i="22"/>
  <c r="R33" i="22"/>
  <c r="S33" i="22" s="1"/>
  <c r="O34" i="22"/>
  <c r="R19" i="22"/>
  <c r="S19" i="22" s="1"/>
  <c r="O20" i="22"/>
  <c r="P18" i="22"/>
  <c r="T18" i="22"/>
  <c r="S11" i="22"/>
  <c r="P11" i="22" s="1"/>
  <c r="Z75" i="28" l="1"/>
  <c r="T76" i="28"/>
  <c r="Y75" i="28"/>
  <c r="X76" i="28"/>
  <c r="Z52" i="28"/>
  <c r="Z53" i="28" s="1"/>
  <c r="AB53" i="28" s="1"/>
  <c r="AJ21" i="28" s="1"/>
  <c r="T53" i="28"/>
  <c r="P91" i="28"/>
  <c r="X52" i="28"/>
  <c r="X53" i="28" s="1"/>
  <c r="Z76" i="28"/>
  <c r="AB76" i="28" s="1"/>
  <c r="S37" i="28"/>
  <c r="P37" i="28" s="1"/>
  <c r="S22" i="28"/>
  <c r="P22" i="28" s="1"/>
  <c r="AA26" i="28"/>
  <c r="AA41" i="28"/>
  <c r="X20" i="28"/>
  <c r="Y20" i="28"/>
  <c r="Z20" i="28"/>
  <c r="P36" i="28"/>
  <c r="T36" i="28"/>
  <c r="X35" i="28"/>
  <c r="Z35" i="28"/>
  <c r="Y35" i="28"/>
  <c r="Y89" i="28"/>
  <c r="Z89" i="28"/>
  <c r="X89" i="28"/>
  <c r="T96" i="28"/>
  <c r="P96" i="28"/>
  <c r="P43" i="28"/>
  <c r="T43" i="28"/>
  <c r="Z95" i="28"/>
  <c r="Y95" i="28"/>
  <c r="X95" i="28"/>
  <c r="S97" i="28"/>
  <c r="R44" i="28"/>
  <c r="S44" i="28" s="1"/>
  <c r="O45" i="28"/>
  <c r="R45" i="28" s="1"/>
  <c r="X67" i="28"/>
  <c r="X68" i="28" s="1"/>
  <c r="Z67" i="28"/>
  <c r="Z68" i="28" s="1"/>
  <c r="AB68" i="28" s="1"/>
  <c r="AJ23" i="28" s="1"/>
  <c r="Y67" i="28"/>
  <c r="X81" i="28"/>
  <c r="Y81" i="28"/>
  <c r="Z81" i="28"/>
  <c r="T90" i="28"/>
  <c r="T91" i="28" s="1"/>
  <c r="R29" i="28"/>
  <c r="S29" i="28" s="1"/>
  <c r="O30" i="28"/>
  <c r="R30" i="28" s="1"/>
  <c r="Z27" i="28"/>
  <c r="AA27" i="28" s="1"/>
  <c r="X27" i="28"/>
  <c r="Y27" i="28"/>
  <c r="P28" i="28"/>
  <c r="T28" i="28"/>
  <c r="P13" i="28"/>
  <c r="T13" i="28"/>
  <c r="AB61" i="28"/>
  <c r="Z42" i="28"/>
  <c r="AA42" i="28" s="1"/>
  <c r="X42" i="28"/>
  <c r="Y42" i="28"/>
  <c r="P82" i="28"/>
  <c r="P83" i="28" s="1"/>
  <c r="T82" i="28"/>
  <c r="AA11" i="28"/>
  <c r="O15" i="28"/>
  <c r="R15" i="28" s="1"/>
  <c r="R14" i="28"/>
  <c r="S14" i="28" s="1"/>
  <c r="X12" i="28"/>
  <c r="Z12" i="28"/>
  <c r="AA12" i="28" s="1"/>
  <c r="Y12" i="28"/>
  <c r="P21" i="28"/>
  <c r="T21" i="28"/>
  <c r="W46" i="22"/>
  <c r="V46" i="22" s="1"/>
  <c r="W83" i="22"/>
  <c r="V83" i="22" s="1"/>
  <c r="N22" i="22"/>
  <c r="N21" i="22"/>
  <c r="W31" i="22"/>
  <c r="V31" i="22" s="1"/>
  <c r="N90" i="22"/>
  <c r="N97" i="22" s="1"/>
  <c r="N96" i="22"/>
  <c r="N75" i="22"/>
  <c r="N82" i="22" s="1"/>
  <c r="N81" i="22"/>
  <c r="N60" i="22"/>
  <c r="N67" i="22" s="1"/>
  <c r="N66" i="22"/>
  <c r="N45" i="22"/>
  <c r="N52" i="22" s="1"/>
  <c r="N51" i="22"/>
  <c r="N29" i="22"/>
  <c r="N35" i="22"/>
  <c r="W68" i="22"/>
  <c r="V68" i="22" s="1"/>
  <c r="Y71" i="22"/>
  <c r="W98" i="22"/>
  <c r="V98" i="22" s="1"/>
  <c r="W76" i="22"/>
  <c r="V76" i="22" s="1"/>
  <c r="W61" i="22"/>
  <c r="V61" i="22" s="1"/>
  <c r="Z71" i="22"/>
  <c r="AA71" i="22" s="1"/>
  <c r="O73" i="22"/>
  <c r="R73" i="22" s="1"/>
  <c r="S73" i="22" s="1"/>
  <c r="O43" i="22"/>
  <c r="R43" i="22" s="1"/>
  <c r="S43" i="22" s="1"/>
  <c r="P43" i="22" s="1"/>
  <c r="O87" i="22"/>
  <c r="R87" i="22" s="1"/>
  <c r="S87" i="22" s="1"/>
  <c r="S42" i="22"/>
  <c r="P42" i="22" s="1"/>
  <c r="T41" i="22"/>
  <c r="X41" i="22" s="1"/>
  <c r="R26" i="22"/>
  <c r="S26" i="22" s="1"/>
  <c r="T26" i="22" s="1"/>
  <c r="X18" i="22"/>
  <c r="Z18" i="22"/>
  <c r="W16" i="22"/>
  <c r="V16" i="22" s="1"/>
  <c r="W23" i="22"/>
  <c r="V23" i="22" s="1"/>
  <c r="Y18" i="22"/>
  <c r="W91" i="22"/>
  <c r="V91" i="22" s="1"/>
  <c r="W53" i="22"/>
  <c r="V53" i="22" s="1"/>
  <c r="W38" i="22"/>
  <c r="V38" i="22" s="1"/>
  <c r="O13" i="22"/>
  <c r="R13" i="22" s="1"/>
  <c r="S13" i="22" s="1"/>
  <c r="P93" i="22"/>
  <c r="T93" i="22"/>
  <c r="O95" i="22"/>
  <c r="R94" i="22"/>
  <c r="S94" i="22" s="1"/>
  <c r="P86" i="22"/>
  <c r="T86" i="22"/>
  <c r="O80" i="22"/>
  <c r="R79" i="22"/>
  <c r="S79" i="22" s="1"/>
  <c r="P78" i="22"/>
  <c r="T78" i="22"/>
  <c r="P72" i="22"/>
  <c r="T72" i="22"/>
  <c r="P63" i="22"/>
  <c r="T63" i="22"/>
  <c r="O65" i="22"/>
  <c r="R64" i="22"/>
  <c r="S64" i="22" s="1"/>
  <c r="T56" i="22"/>
  <c r="P56" i="22"/>
  <c r="R57" i="22"/>
  <c r="S57" i="22" s="1"/>
  <c r="O58" i="22"/>
  <c r="AA48" i="22"/>
  <c r="R50" i="22"/>
  <c r="S50" i="22" s="1"/>
  <c r="O51" i="22"/>
  <c r="T49" i="22"/>
  <c r="X49" i="22" s="1"/>
  <c r="P49" i="22"/>
  <c r="T33" i="22"/>
  <c r="P33" i="22"/>
  <c r="R34" i="22"/>
  <c r="S34" i="22" s="1"/>
  <c r="O35" i="22"/>
  <c r="R27" i="22"/>
  <c r="O28" i="22"/>
  <c r="T19" i="22"/>
  <c r="P19" i="22"/>
  <c r="O21" i="22"/>
  <c r="R20" i="22"/>
  <c r="S20" i="22" s="1"/>
  <c r="T11" i="22"/>
  <c r="P12" i="22"/>
  <c r="P38" i="28" l="1"/>
  <c r="S45" i="28"/>
  <c r="P45" i="28" s="1"/>
  <c r="S30" i="28"/>
  <c r="P30" i="28" s="1"/>
  <c r="P23" i="28"/>
  <c r="T22" i="28"/>
  <c r="Y22" i="28" s="1"/>
  <c r="X13" i="28"/>
  <c r="Y13" i="28"/>
  <c r="Z13" i="28"/>
  <c r="X36" i="28"/>
  <c r="Z36" i="28"/>
  <c r="Y36" i="28"/>
  <c r="AJ22" i="28"/>
  <c r="AB55" i="28"/>
  <c r="X96" i="28"/>
  <c r="Z96" i="28"/>
  <c r="Y96" i="28"/>
  <c r="X82" i="28"/>
  <c r="X83" i="28" s="1"/>
  <c r="Y82" i="28"/>
  <c r="Z82" i="28"/>
  <c r="Z83" i="28" s="1"/>
  <c r="T29" i="28"/>
  <c r="P29" i="28"/>
  <c r="X28" i="28"/>
  <c r="Y28" i="28"/>
  <c r="Z28" i="28"/>
  <c r="AA20" i="28"/>
  <c r="P14" i="28"/>
  <c r="T14" i="28"/>
  <c r="P44" i="28"/>
  <c r="T44" i="28"/>
  <c r="Y43" i="28"/>
  <c r="Z43" i="28"/>
  <c r="AA43" i="28" s="1"/>
  <c r="X43" i="28"/>
  <c r="T83" i="28"/>
  <c r="X90" i="28"/>
  <c r="X91" i="28" s="1"/>
  <c r="Y90" i="28"/>
  <c r="Z90" i="28"/>
  <c r="Z91" i="28" s="1"/>
  <c r="AJ25" i="28"/>
  <c r="S15" i="28"/>
  <c r="T97" i="28"/>
  <c r="P97" i="28"/>
  <c r="P98" i="28" s="1"/>
  <c r="X21" i="28"/>
  <c r="Y21" i="28"/>
  <c r="Z21" i="28"/>
  <c r="AA21" i="28" s="1"/>
  <c r="Z55" i="28"/>
  <c r="T37" i="28"/>
  <c r="N30" i="22"/>
  <c r="N37" i="22" s="1"/>
  <c r="N36" i="22"/>
  <c r="O88" i="22"/>
  <c r="R88" i="22" s="1"/>
  <c r="S88" i="22" s="1"/>
  <c r="O74" i="22"/>
  <c r="R74" i="22" s="1"/>
  <c r="S74" i="22" s="1"/>
  <c r="O44" i="22"/>
  <c r="R44" i="22" s="1"/>
  <c r="S44" i="22" s="1"/>
  <c r="P44" i="22" s="1"/>
  <c r="Z41" i="22"/>
  <c r="AA41" i="22" s="1"/>
  <c r="Y41" i="22"/>
  <c r="T42" i="22"/>
  <c r="Y42" i="22" s="1"/>
  <c r="S27" i="22"/>
  <c r="T27" i="22" s="1"/>
  <c r="P26" i="22"/>
  <c r="X19" i="22"/>
  <c r="Z19" i="22"/>
  <c r="AA19" i="22" s="1"/>
  <c r="Y19" i="22"/>
  <c r="Y49" i="22"/>
  <c r="X86" i="22"/>
  <c r="Y86" i="22"/>
  <c r="X72" i="22"/>
  <c r="Y72" i="22"/>
  <c r="X56" i="22"/>
  <c r="Y56" i="22"/>
  <c r="X26" i="22"/>
  <c r="Y26" i="22"/>
  <c r="X93" i="22"/>
  <c r="Y93" i="22"/>
  <c r="X78" i="22"/>
  <c r="Y78" i="22"/>
  <c r="X63" i="22"/>
  <c r="Y63" i="22"/>
  <c r="X33" i="22"/>
  <c r="Y33" i="22"/>
  <c r="Z11" i="22"/>
  <c r="AA11" i="22" s="1"/>
  <c r="Y11" i="22"/>
  <c r="X11" i="22"/>
  <c r="O14" i="22"/>
  <c r="R14" i="22" s="1"/>
  <c r="S14" i="22" s="1"/>
  <c r="AA18" i="22"/>
  <c r="Z93" i="22"/>
  <c r="P94" i="22"/>
  <c r="T94" i="22"/>
  <c r="R95" i="22"/>
  <c r="S95" i="22" s="1"/>
  <c r="O96" i="22"/>
  <c r="Z86" i="22"/>
  <c r="P87" i="22"/>
  <c r="T87" i="22"/>
  <c r="Z78" i="22"/>
  <c r="P79" i="22"/>
  <c r="T79" i="22"/>
  <c r="R80" i="22"/>
  <c r="S80" i="22" s="1"/>
  <c r="O81" i="22"/>
  <c r="Z72" i="22"/>
  <c r="P73" i="22"/>
  <c r="T73" i="22"/>
  <c r="O66" i="22"/>
  <c r="R65" i="22"/>
  <c r="S65" i="22" s="1"/>
  <c r="P64" i="22"/>
  <c r="T64" i="22"/>
  <c r="Z63" i="22"/>
  <c r="R58" i="22"/>
  <c r="S58" i="22" s="1"/>
  <c r="O59" i="22"/>
  <c r="Z56" i="22"/>
  <c r="T57" i="22"/>
  <c r="P57" i="22"/>
  <c r="Z49" i="22"/>
  <c r="O52" i="22"/>
  <c r="R51" i="22"/>
  <c r="S51" i="22" s="1"/>
  <c r="P50" i="22"/>
  <c r="T50" i="22"/>
  <c r="Z33" i="22"/>
  <c r="R35" i="22"/>
  <c r="S35" i="22" s="1"/>
  <c r="O36" i="22"/>
  <c r="T34" i="22"/>
  <c r="P34" i="22"/>
  <c r="Z26" i="22"/>
  <c r="R28" i="22"/>
  <c r="S28" i="22" s="1"/>
  <c r="O29" i="22"/>
  <c r="T20" i="22"/>
  <c r="P20" i="22"/>
  <c r="R21" i="22"/>
  <c r="S21" i="22" s="1"/>
  <c r="O22" i="22"/>
  <c r="T12" i="22"/>
  <c r="P13" i="22"/>
  <c r="T45" i="28" l="1"/>
  <c r="Y45" i="28" s="1"/>
  <c r="T30" i="28"/>
  <c r="Y30" i="28" s="1"/>
  <c r="P46" i="28"/>
  <c r="Z22" i="28"/>
  <c r="AA22" i="28" s="1"/>
  <c r="T23" i="28"/>
  <c r="X22" i="28"/>
  <c r="X23" i="28" s="1"/>
  <c r="AA13" i="28"/>
  <c r="T15" i="28"/>
  <c r="P15" i="28"/>
  <c r="P16" i="28" s="1"/>
  <c r="Z44" i="28"/>
  <c r="X44" i="28"/>
  <c r="Y44" i="28"/>
  <c r="X97" i="28"/>
  <c r="X98" i="28" s="1"/>
  <c r="Z97" i="28"/>
  <c r="Z98" i="28" s="1"/>
  <c r="AB98" i="28" s="1"/>
  <c r="AJ28" i="28" s="1"/>
  <c r="Y97" i="28"/>
  <c r="AA28" i="28"/>
  <c r="Y37" i="28"/>
  <c r="X37" i="28"/>
  <c r="X38" i="28" s="1"/>
  <c r="Z37" i="28"/>
  <c r="Z38" i="28" s="1"/>
  <c r="AB38" i="28" s="1"/>
  <c r="AJ19" i="28" s="1"/>
  <c r="T38" i="28"/>
  <c r="T98" i="28"/>
  <c r="X14" i="28"/>
  <c r="Y14" i="28"/>
  <c r="Z14" i="28"/>
  <c r="AA14" i="28" s="1"/>
  <c r="P31" i="28"/>
  <c r="AB91" i="28"/>
  <c r="AB83" i="28"/>
  <c r="Z70" i="28"/>
  <c r="X29" i="28"/>
  <c r="Z29" i="28"/>
  <c r="AA29" i="28" s="1"/>
  <c r="Y29" i="28"/>
  <c r="O89" i="22"/>
  <c r="R89" i="22" s="1"/>
  <c r="S89" i="22" s="1"/>
  <c r="O75" i="22"/>
  <c r="R75" i="22" s="1"/>
  <c r="S75" i="22" s="1"/>
  <c r="O45" i="22"/>
  <c r="R45" i="22" s="1"/>
  <c r="S45" i="22" s="1"/>
  <c r="P45" i="22" s="1"/>
  <c r="Z42" i="22"/>
  <c r="AA42" i="22" s="1"/>
  <c r="X42" i="22"/>
  <c r="T43" i="22"/>
  <c r="X43" i="22" s="1"/>
  <c r="P27" i="22"/>
  <c r="X20" i="22"/>
  <c r="Y20" i="22"/>
  <c r="Z20" i="22"/>
  <c r="AA20" i="22" s="1"/>
  <c r="X87" i="22"/>
  <c r="Y87" i="22"/>
  <c r="X73" i="22"/>
  <c r="Y73" i="22"/>
  <c r="X57" i="22"/>
  <c r="Y57" i="22"/>
  <c r="X27" i="22"/>
  <c r="Y27" i="22"/>
  <c r="X94" i="22"/>
  <c r="Y94" i="22"/>
  <c r="X79" i="22"/>
  <c r="Y79" i="22"/>
  <c r="X64" i="22"/>
  <c r="Y64" i="22"/>
  <c r="X50" i="22"/>
  <c r="Y50" i="22"/>
  <c r="X34" i="22"/>
  <c r="Y34" i="22"/>
  <c r="X12" i="22"/>
  <c r="Y12" i="22"/>
  <c r="O15" i="22"/>
  <c r="R15" i="22" s="1"/>
  <c r="S15" i="22" s="1"/>
  <c r="R96" i="22"/>
  <c r="S96" i="22" s="1"/>
  <c r="O97" i="22"/>
  <c r="P95" i="22"/>
  <c r="T95" i="22"/>
  <c r="Z94" i="22"/>
  <c r="AA94" i="22" s="1"/>
  <c r="AA93" i="22"/>
  <c r="AA86" i="22"/>
  <c r="T88" i="22"/>
  <c r="P88" i="22"/>
  <c r="Z87" i="22"/>
  <c r="AA87" i="22" s="1"/>
  <c r="R81" i="22"/>
  <c r="S81" i="22" s="1"/>
  <c r="O82" i="22"/>
  <c r="T80" i="22"/>
  <c r="P80" i="22"/>
  <c r="AA78" i="22"/>
  <c r="Z79" i="22"/>
  <c r="AA79" i="22" s="1"/>
  <c r="AA72" i="22"/>
  <c r="Z73" i="22"/>
  <c r="AA73" i="22" s="1"/>
  <c r="T74" i="22"/>
  <c r="P74" i="22"/>
  <c r="Z64" i="22"/>
  <c r="AA64" i="22" s="1"/>
  <c r="T65" i="22"/>
  <c r="P65" i="22"/>
  <c r="R66" i="22"/>
  <c r="S66" i="22" s="1"/>
  <c r="O67" i="22"/>
  <c r="AA63" i="22"/>
  <c r="Z57" i="22"/>
  <c r="AA57" i="22" s="1"/>
  <c r="AA56" i="22"/>
  <c r="R59" i="22"/>
  <c r="S59" i="22" s="1"/>
  <c r="O60" i="22"/>
  <c r="P58" i="22"/>
  <c r="T58" i="22"/>
  <c r="P51" i="22"/>
  <c r="T51" i="22"/>
  <c r="R52" i="22"/>
  <c r="S52" i="22" s="1"/>
  <c r="AA49" i="22"/>
  <c r="Z50" i="22"/>
  <c r="AA50" i="22" s="1"/>
  <c r="P35" i="22"/>
  <c r="T35" i="22"/>
  <c r="Z34" i="22"/>
  <c r="AA34" i="22" s="1"/>
  <c r="R36" i="22"/>
  <c r="S36" i="22" s="1"/>
  <c r="O37" i="22"/>
  <c r="AA33" i="22"/>
  <c r="AA26" i="22"/>
  <c r="Z27" i="22"/>
  <c r="AA27" i="22" s="1"/>
  <c r="O30" i="22"/>
  <c r="R29" i="22"/>
  <c r="S29" i="22" s="1"/>
  <c r="P28" i="22"/>
  <c r="T28" i="22"/>
  <c r="P21" i="22"/>
  <c r="T21" i="22"/>
  <c r="R22" i="22"/>
  <c r="S22" i="22" s="1"/>
  <c r="Z12" i="22"/>
  <c r="AA12" i="22" s="1"/>
  <c r="T13" i="22"/>
  <c r="Y13" i="22" s="1"/>
  <c r="P14" i="22"/>
  <c r="X45" i="28" l="1"/>
  <c r="X46" i="28" s="1"/>
  <c r="Z30" i="28"/>
  <c r="AA30" i="28" s="1"/>
  <c r="X30" i="28"/>
  <c r="X31" i="28" s="1"/>
  <c r="T31" i="28"/>
  <c r="Z45" i="28"/>
  <c r="AA45" i="28" s="1"/>
  <c r="T46" i="28"/>
  <c r="Z85" i="28"/>
  <c r="Z23" i="28"/>
  <c r="AB23" i="28" s="1"/>
  <c r="AJ17" i="28" s="1"/>
  <c r="X15" i="28"/>
  <c r="X16" i="28" s="1"/>
  <c r="Y15" i="28"/>
  <c r="Z15" i="28"/>
  <c r="T16" i="28"/>
  <c r="AB85" i="28"/>
  <c r="AJ27" i="28"/>
  <c r="AA44" i="28"/>
  <c r="AJ26" i="28"/>
  <c r="AB70" i="28"/>
  <c r="O90" i="22"/>
  <c r="R90" i="22" s="1"/>
  <c r="S90" i="22" s="1"/>
  <c r="T44" i="22"/>
  <c r="T45" i="22" s="1"/>
  <c r="Y43" i="22"/>
  <c r="Z43" i="22"/>
  <c r="AA43" i="22" s="1"/>
  <c r="X21" i="22"/>
  <c r="Y21" i="22"/>
  <c r="Z21" i="22"/>
  <c r="AA21" i="22" s="1"/>
  <c r="X88" i="22"/>
  <c r="Y88" i="22"/>
  <c r="X74" i="22"/>
  <c r="Y74" i="22"/>
  <c r="X58" i="22"/>
  <c r="Y58" i="22"/>
  <c r="X28" i="22"/>
  <c r="Y28" i="22"/>
  <c r="X95" i="22"/>
  <c r="Y95" i="22"/>
  <c r="X80" i="22"/>
  <c r="Y80" i="22"/>
  <c r="X65" i="22"/>
  <c r="Y65" i="22"/>
  <c r="X51" i="22"/>
  <c r="Y51" i="22"/>
  <c r="X35" i="22"/>
  <c r="Y35" i="22"/>
  <c r="Z13" i="22"/>
  <c r="AA13" i="22" s="1"/>
  <c r="X13" i="22"/>
  <c r="Z95" i="22"/>
  <c r="R97" i="22"/>
  <c r="S97" i="22" s="1"/>
  <c r="T96" i="22"/>
  <c r="P96" i="22"/>
  <c r="T89" i="22"/>
  <c r="P89" i="22"/>
  <c r="Z88" i="22"/>
  <c r="Z80" i="22"/>
  <c r="AA80" i="22" s="1"/>
  <c r="R82" i="22"/>
  <c r="S82" i="22" s="1"/>
  <c r="T81" i="22"/>
  <c r="P81" i="22"/>
  <c r="T75" i="22"/>
  <c r="P75" i="22"/>
  <c r="Z74" i="22"/>
  <c r="AA74" i="22" s="1"/>
  <c r="Z65" i="22"/>
  <c r="T66" i="22"/>
  <c r="P66" i="22"/>
  <c r="R67" i="22"/>
  <c r="S67" i="22" s="1"/>
  <c r="R60" i="22"/>
  <c r="S60" i="22" s="1"/>
  <c r="P59" i="22"/>
  <c r="T59" i="22"/>
  <c r="Z58" i="22"/>
  <c r="Z51" i="22"/>
  <c r="T52" i="22"/>
  <c r="P52" i="22"/>
  <c r="Z35" i="22"/>
  <c r="R37" i="22"/>
  <c r="S37" i="22" s="1"/>
  <c r="P36" i="22"/>
  <c r="T36" i="22"/>
  <c r="P29" i="22"/>
  <c r="T29" i="22"/>
  <c r="Z28" i="22"/>
  <c r="R30" i="22"/>
  <c r="S30" i="22" s="1"/>
  <c r="P22" i="22"/>
  <c r="T22" i="22"/>
  <c r="T14" i="22"/>
  <c r="P15" i="22"/>
  <c r="AA23" i="28" l="1"/>
  <c r="Z46" i="28"/>
  <c r="Z40" i="28" s="1"/>
  <c r="Z31" i="28"/>
  <c r="AB31" i="28" s="1"/>
  <c r="AA31" i="28"/>
  <c r="AA25" i="28" s="1"/>
  <c r="AA15" i="28"/>
  <c r="Z16" i="28"/>
  <c r="AA46" i="28"/>
  <c r="AA40" i="28" s="1"/>
  <c r="Z44" i="22"/>
  <c r="AA44" i="22" s="1"/>
  <c r="Y44" i="22"/>
  <c r="X44" i="22"/>
  <c r="Y14" i="22"/>
  <c r="X14" i="22"/>
  <c r="X89" i="22"/>
  <c r="Y89" i="22"/>
  <c r="X75" i="22"/>
  <c r="Y75" i="22"/>
  <c r="X59" i="22"/>
  <c r="Y59" i="22"/>
  <c r="X45" i="22"/>
  <c r="Y45" i="22"/>
  <c r="X29" i="22"/>
  <c r="Y29" i="22"/>
  <c r="X96" i="22"/>
  <c r="Y96" i="22"/>
  <c r="X81" i="22"/>
  <c r="Y81" i="22"/>
  <c r="X66" i="22"/>
  <c r="Y66" i="22"/>
  <c r="X52" i="22"/>
  <c r="Y52" i="22"/>
  <c r="X36" i="22"/>
  <c r="Y36" i="22"/>
  <c r="X22" i="22"/>
  <c r="Z22" i="22"/>
  <c r="AA22" i="22" s="1"/>
  <c r="Y22" i="22"/>
  <c r="Z45" i="22"/>
  <c r="AA45" i="22" s="1"/>
  <c r="AA58" i="22"/>
  <c r="AA28" i="22"/>
  <c r="AA95" i="22"/>
  <c r="Z96" i="22"/>
  <c r="AA96" i="22" s="1"/>
  <c r="P97" i="22"/>
  <c r="T97" i="22"/>
  <c r="P90" i="22"/>
  <c r="T90" i="22"/>
  <c r="AA88" i="22"/>
  <c r="Z89" i="22"/>
  <c r="Z81" i="22"/>
  <c r="P82" i="22"/>
  <c r="T82" i="22"/>
  <c r="Z75" i="22"/>
  <c r="Z66" i="22"/>
  <c r="AA66" i="22" s="1"/>
  <c r="P67" i="22"/>
  <c r="T67" i="22"/>
  <c r="AA65" i="22"/>
  <c r="P60" i="22"/>
  <c r="T60" i="22"/>
  <c r="Z59" i="22"/>
  <c r="AA59" i="22" s="1"/>
  <c r="Z52" i="22"/>
  <c r="AA52" i="22" s="1"/>
  <c r="AA51" i="22"/>
  <c r="T37" i="22"/>
  <c r="P37" i="22"/>
  <c r="AA35" i="22"/>
  <c r="Z36" i="22"/>
  <c r="AA36" i="22" s="1"/>
  <c r="Z29" i="22"/>
  <c r="AA29" i="22" s="1"/>
  <c r="P30" i="22"/>
  <c r="T30" i="22"/>
  <c r="Z14" i="22"/>
  <c r="AA14" i="22" s="1"/>
  <c r="T15" i="22"/>
  <c r="X15" i="22" s="1"/>
  <c r="Z25" i="28" l="1"/>
  <c r="AB46" i="28"/>
  <c r="AJ20" i="28" s="1"/>
  <c r="AB16" i="28"/>
  <c r="Z5" i="28"/>
  <c r="Z10" i="28"/>
  <c r="AA16" i="28"/>
  <c r="AA10" i="28" s="1"/>
  <c r="AB25" i="28"/>
  <c r="AJ18" i="28"/>
  <c r="X90" i="22"/>
  <c r="Y90" i="22"/>
  <c r="X60" i="22"/>
  <c r="Y60" i="22"/>
  <c r="X30" i="22"/>
  <c r="Y30" i="22"/>
  <c r="X97" i="22"/>
  <c r="Y97" i="22"/>
  <c r="X82" i="22"/>
  <c r="Y82" i="22"/>
  <c r="X67" i="22"/>
  <c r="Y67" i="22"/>
  <c r="X37" i="22"/>
  <c r="Y37" i="22"/>
  <c r="Z15" i="22"/>
  <c r="AA15" i="22" s="1"/>
  <c r="Y15" i="22"/>
  <c r="AA89" i="22"/>
  <c r="Z97" i="22"/>
  <c r="AA97" i="22" s="1"/>
  <c r="Z90" i="22"/>
  <c r="AA90" i="22" s="1"/>
  <c r="Z82" i="22"/>
  <c r="AA82" i="22" s="1"/>
  <c r="AA81" i="22"/>
  <c r="AA75" i="22"/>
  <c r="Z67" i="22"/>
  <c r="Z60" i="22"/>
  <c r="Z37" i="22"/>
  <c r="Z30" i="22"/>
  <c r="AA30" i="22" s="1"/>
  <c r="AB40" i="28" l="1"/>
  <c r="AB5" i="28"/>
  <c r="AA5" i="28"/>
  <c r="T5" i="28"/>
  <c r="AJ16" i="28"/>
  <c r="AB10" i="28"/>
  <c r="AA67" i="22"/>
  <c r="AA60" i="22"/>
  <c r="AA37" i="22"/>
  <c r="M5" i="28" l="1"/>
  <c r="AJ15" i="28"/>
  <c r="T46" i="22"/>
  <c r="P46" i="22"/>
  <c r="T76" i="22" l="1"/>
  <c r="X46" i="22"/>
  <c r="P76" i="22"/>
  <c r="P23" i="22"/>
  <c r="P53" i="22"/>
  <c r="T53" i="22"/>
  <c r="P16" i="22"/>
  <c r="Z46" i="22" l="1"/>
  <c r="P68" i="22"/>
  <c r="T83" i="22"/>
  <c r="T91" i="22"/>
  <c r="P83" i="22"/>
  <c r="P38" i="22"/>
  <c r="P91" i="22"/>
  <c r="Z76" i="22"/>
  <c r="X76" i="22"/>
  <c r="T23" i="22"/>
  <c r="P98" i="22"/>
  <c r="T98" i="22"/>
  <c r="T68" i="22"/>
  <c r="T61" i="22"/>
  <c r="P61" i="22"/>
  <c r="X53" i="22"/>
  <c r="Z53" i="22"/>
  <c r="T38" i="22"/>
  <c r="T31" i="22"/>
  <c r="P31" i="22"/>
  <c r="X23" i="22"/>
  <c r="Z16" i="22"/>
  <c r="T16" i="22"/>
  <c r="AA53" i="22" l="1"/>
  <c r="Z40" i="22"/>
  <c r="AA76" i="22"/>
  <c r="AA46" i="22"/>
  <c r="AA16" i="22"/>
  <c r="AB46" i="22"/>
  <c r="Z91" i="22"/>
  <c r="Z83" i="22"/>
  <c r="X91" i="22"/>
  <c r="X83" i="22"/>
  <c r="AB76" i="22"/>
  <c r="AB53" i="22"/>
  <c r="Z23" i="22"/>
  <c r="AA23" i="22" s="1"/>
  <c r="X16" i="22"/>
  <c r="AB16" i="22"/>
  <c r="X98" i="22"/>
  <c r="Z98" i="22"/>
  <c r="X68" i="22"/>
  <c r="Z68" i="22"/>
  <c r="X61" i="22"/>
  <c r="Z61" i="22"/>
  <c r="X38" i="22"/>
  <c r="Z38" i="22"/>
  <c r="X31" i="22"/>
  <c r="Z31" i="22"/>
  <c r="AA40" i="22" l="1"/>
  <c r="AA98" i="22"/>
  <c r="Z85" i="22"/>
  <c r="AA83" i="22"/>
  <c r="AA70" i="22" s="1"/>
  <c r="Z70" i="22"/>
  <c r="AA68" i="22"/>
  <c r="Z55" i="22"/>
  <c r="AJ21" i="22"/>
  <c r="AB40" i="22"/>
  <c r="AA38" i="22"/>
  <c r="Z25" i="22"/>
  <c r="AA10" i="22"/>
  <c r="AA91" i="22"/>
  <c r="AJ25" i="22"/>
  <c r="AA61" i="22"/>
  <c r="AJ20" i="22"/>
  <c r="AA31" i="22"/>
  <c r="AJ16" i="22"/>
  <c r="Z10" i="22"/>
  <c r="Z5" i="22"/>
  <c r="T5" i="22" s="1"/>
  <c r="AB98" i="22"/>
  <c r="AB91" i="22"/>
  <c r="AB83" i="22"/>
  <c r="AB68" i="22"/>
  <c r="AB61" i="22"/>
  <c r="AB38" i="22"/>
  <c r="AB31" i="22"/>
  <c r="AB23" i="22"/>
  <c r="AJ17" i="22" s="1"/>
  <c r="AA85" i="22" l="1"/>
  <c r="AA55" i="22"/>
  <c r="AA25" i="22"/>
  <c r="AJ28" i="22"/>
  <c r="AB85" i="22"/>
  <c r="AJ26" i="22"/>
  <c r="AB70" i="22"/>
  <c r="AJ23" i="22"/>
  <c r="AB55" i="22"/>
  <c r="AJ19" i="22"/>
  <c r="AB25" i="22"/>
  <c r="AJ27" i="22"/>
  <c r="AJ22" i="22"/>
  <c r="AJ18" i="22"/>
  <c r="AB10" i="22"/>
  <c r="AA5" i="22"/>
  <c r="AB5" i="22"/>
  <c r="M5" i="22" l="1"/>
  <c r="AJ15" i="2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<sst xmlns="http://schemas.openxmlformats.org/spreadsheetml/2006/main" count="432" uniqueCount="216">
  <si>
    <t>R
[m²K/W]</t>
  </si>
  <si>
    <t>Linoleum</t>
  </si>
  <si>
    <t>c</t>
  </si>
  <si>
    <t>W/mK</t>
  </si>
  <si>
    <t>kg/m3</t>
  </si>
  <si>
    <t>Materiaal</t>
  </si>
  <si>
    <t>J/kg.K</t>
  </si>
  <si>
    <t>ijzer</t>
  </si>
  <si>
    <t>staal</t>
  </si>
  <si>
    <t>aluminium</t>
  </si>
  <si>
    <t>Metaal</t>
  </si>
  <si>
    <t>Natuursteen</t>
  </si>
  <si>
    <t>kalksteen</t>
  </si>
  <si>
    <t>hardsteen</t>
  </si>
  <si>
    <t>marmer</t>
  </si>
  <si>
    <t>zandsteen</t>
  </si>
  <si>
    <t>Metselsteen</t>
  </si>
  <si>
    <t>gevelklinkers</t>
  </si>
  <si>
    <t>hardgrauw</t>
  </si>
  <si>
    <t>rood/boerengrauw</t>
  </si>
  <si>
    <t>isolatiesteen</t>
  </si>
  <si>
    <t>kalkzandsteen</t>
  </si>
  <si>
    <t>Grindbeton</t>
  </si>
  <si>
    <t>verdicht gewapend</t>
  </si>
  <si>
    <t>verdicht ongewapend</t>
  </si>
  <si>
    <t>niet verdicht gewapend</t>
  </si>
  <si>
    <t>niet verdicht ongewapend</t>
  </si>
  <si>
    <t>Lichte betonsoorten</t>
  </si>
  <si>
    <t>Bims beton</t>
  </si>
  <si>
    <t>LBeton-1900kg/m3</t>
  </si>
  <si>
    <t>LBeton-1600kg/m3</t>
  </si>
  <si>
    <t>Bims-700-1000kg/m3</t>
  </si>
  <si>
    <t>Bims-1000-1400kg/m3</t>
  </si>
  <si>
    <t>LBeton-1300kg/m3</t>
  </si>
  <si>
    <t>LBeton-1000kg/m3</t>
  </si>
  <si>
    <t>LBeton-700kg/m3</t>
  </si>
  <si>
    <t>LBeton-500kg/m3</t>
  </si>
  <si>
    <t>LBeton-300kg/m3</t>
  </si>
  <si>
    <t>LBeton-200kg/m3</t>
  </si>
  <si>
    <t>PS-schuimbeton</t>
  </si>
  <si>
    <t>PS-B-220kg/m3</t>
  </si>
  <si>
    <t>PS-B-400kg/m3</t>
  </si>
  <si>
    <t>PS-B-650kg/m3</t>
  </si>
  <si>
    <t>CelB-1300kg/m3</t>
  </si>
  <si>
    <t>CelB-1000kg/m3</t>
  </si>
  <si>
    <t>CelB-700kg/m3</t>
  </si>
  <si>
    <t>CelB-400kg/m3</t>
  </si>
  <si>
    <t>Cellenbeton</t>
  </si>
  <si>
    <t>HosB-1900kg/m3</t>
  </si>
  <si>
    <t>HosB-1600kg/m3</t>
  </si>
  <si>
    <t>HosB-1300kg/m3</t>
  </si>
  <si>
    <t>HosB-1000kg/m3</t>
  </si>
  <si>
    <t>Overig anorganische materialen</t>
  </si>
  <si>
    <t>Gipsplaten-800-1400kg/m3</t>
  </si>
  <si>
    <t>Glas</t>
  </si>
  <si>
    <t>Schuimglas</t>
  </si>
  <si>
    <t>MineraleWol-35kg/m3</t>
  </si>
  <si>
    <t>MineraleWol-250kg/m3</t>
  </si>
  <si>
    <t>Hoogovenslakkenbeton</t>
  </si>
  <si>
    <t>Pleisterlagen</t>
  </si>
  <si>
    <t>Cementpleister</t>
  </si>
  <si>
    <t>Kalkpleister</t>
  </si>
  <si>
    <t>Gipspleister</t>
  </si>
  <si>
    <t>Tegels</t>
  </si>
  <si>
    <t>Hardgebakken tegels</t>
  </si>
  <si>
    <t>Plavuizen</t>
  </si>
  <si>
    <t>Organische materialen</t>
  </si>
  <si>
    <t>Geëxpandeerde kurk</t>
  </si>
  <si>
    <t>rubber</t>
  </si>
  <si>
    <t>Houtproducten</t>
  </si>
  <si>
    <t>Hardhout</t>
  </si>
  <si>
    <t>Naaldhout</t>
  </si>
  <si>
    <t>Hardboard</t>
  </si>
  <si>
    <t>Zachtboard</t>
  </si>
  <si>
    <t>Spaanplaat</t>
  </si>
  <si>
    <t>Houtwolcementplaat</t>
  </si>
  <si>
    <t>Houtwolmagnesietplaat</t>
  </si>
  <si>
    <t>Kunststoffen</t>
  </si>
  <si>
    <t>Ureumharssschuim</t>
  </si>
  <si>
    <t>Polyurethaanschuim</t>
  </si>
  <si>
    <t>Fenolharsschuim (hard)</t>
  </si>
  <si>
    <t>graniet</t>
  </si>
  <si>
    <t>Vlasschevencementplaat-330kg/m3</t>
  </si>
  <si>
    <t>Vlasschevencementplaat-700kg/m3</t>
  </si>
  <si>
    <t>m2</t>
  </si>
  <si>
    <r>
      <t xml:space="preserve">warmte-geleidings-coefficient </t>
    </r>
    <r>
      <rPr>
        <sz val="12"/>
        <color theme="0"/>
        <rFont val="Symbol"/>
        <family val="1"/>
        <charset val="2"/>
      </rPr>
      <t>l</t>
    </r>
    <r>
      <rPr>
        <sz val="12"/>
        <color theme="0"/>
        <rFont val="Calibri"/>
        <family val="2"/>
      </rPr>
      <t xml:space="preserve">
[W/m.K]</t>
    </r>
  </si>
  <si>
    <r>
      <t xml:space="preserve">soortelijk gewicht </t>
    </r>
    <r>
      <rPr>
        <sz val="12"/>
        <color theme="0"/>
        <rFont val="Symbol"/>
        <family val="1"/>
        <charset val="2"/>
      </rPr>
      <t>r</t>
    </r>
    <r>
      <rPr>
        <sz val="12"/>
        <color theme="0"/>
        <rFont val="Calibri"/>
        <family val="2"/>
        <scheme val="minor"/>
      </rPr>
      <t xml:space="preserve">
[kg/m³]</t>
    </r>
  </si>
  <si>
    <t>constructie-oppervlakte
[m²]</t>
  </si>
  <si>
    <t>d-correctie-reken
[m]</t>
  </si>
  <si>
    <t>invoer in de gele cellen</t>
  </si>
  <si>
    <t>dikte meerekenen</t>
  </si>
  <si>
    <t>d%reken - r max .25</t>
  </si>
  <si>
    <t>Rcumulatief initieel 
[m²K/W]</t>
  </si>
  <si>
    <t>Ci/Ag</t>
  </si>
  <si>
    <t>ρ</t>
  </si>
  <si>
    <r>
      <rPr>
        <sz val="11"/>
        <color theme="1"/>
        <rFont val="Calibri"/>
        <family val="2"/>
      </rPr>
      <t>λ</t>
    </r>
    <r>
      <rPr>
        <sz val="11"/>
        <color theme="1"/>
        <rFont val="Calibri"/>
        <family val="2"/>
        <scheme val="minor"/>
      </rPr>
      <t xml:space="preserve"> (droog)</t>
    </r>
  </si>
  <si>
    <t>materiaaldichtheid</t>
  </si>
  <si>
    <t>warmtecapaciteit</t>
  </si>
  <si>
    <t>specifieke warmte-capaciteit C
[J/kg.K]</t>
  </si>
  <si>
    <t>Agwoning</t>
  </si>
  <si>
    <t>Ci-totaal</t>
  </si>
  <si>
    <t>Ci/m2cons (gem)</t>
  </si>
  <si>
    <t>kJ/K</t>
  </si>
  <si>
    <t>kJ/K.m2Ag</t>
  </si>
  <si>
    <t>kJ/K.m2cons</t>
  </si>
  <si>
    <t>Aconstructie</t>
  </si>
  <si>
    <t>NTA8800 Check Dikte max d=0.1</t>
  </si>
  <si>
    <t>NTA8800 Check Rreken max 0.25</t>
  </si>
  <si>
    <t>NTA8800          Ci
[kJ/K]</t>
  </si>
  <si>
    <t>NTA8800        Ci/Ag [kJ/K.m2]</t>
  </si>
  <si>
    <t>Ci/m2cons [kJ/K.m2]</t>
  </si>
  <si>
    <t>m2 beton</t>
  </si>
  <si>
    <t>m/m2Ag</t>
  </si>
  <si>
    <t>d-equivalent beton</t>
  </si>
  <si>
    <t>stapel</t>
  </si>
  <si>
    <t>MATERIALENDATABANK</t>
  </si>
  <si>
    <t>metaal nader in te vullen</t>
  </si>
  <si>
    <t>natuursteen nader in te vullen</t>
  </si>
  <si>
    <t>metselsteen nader in te vullen</t>
  </si>
  <si>
    <t>grindbeton nader in te vullen</t>
  </si>
  <si>
    <t>lichte betonsoorten nader in te vullen</t>
  </si>
  <si>
    <t>bims beton nader in te vullen</t>
  </si>
  <si>
    <t>PS-schuimbeton nader in te vullen</t>
  </si>
  <si>
    <t>Cellenbeton nader in te vullen</t>
  </si>
  <si>
    <t>Hoogovenslakkenbeton nader in te vullen</t>
  </si>
  <si>
    <t>Overig anorganische materialen nader in te vullen</t>
  </si>
  <si>
    <t>Overig anorganische materialen nader in te vullen nader in te vullen</t>
  </si>
  <si>
    <t>Tegels nader in te vullen</t>
  </si>
  <si>
    <t>Organische materialen nader in te vullen</t>
  </si>
  <si>
    <t>Houtproducten nader in te vullen</t>
  </si>
  <si>
    <t>Polystyreenschuim gee nader in te vullenpandeerd</t>
  </si>
  <si>
    <t>Polystyreenschuim gee nader in te vullentrudeerd</t>
  </si>
  <si>
    <t>Kunststoffen nader in te vullen</t>
  </si>
  <si>
    <t>Pleisterlaag nader in te vullen</t>
  </si>
  <si>
    <t>materiaalsoort</t>
  </si>
  <si>
    <t>bovenzijde</t>
  </si>
  <si>
    <t>onderzijde</t>
  </si>
  <si>
    <t>NTA8800 Check Dikte max 1/2d</t>
  </si>
  <si>
    <t>onderzijde (zone)</t>
  </si>
  <si>
    <t>bovenzijde (zone)</t>
  </si>
  <si>
    <t>werkelijke laagdikte d
[m]</t>
  </si>
  <si>
    <t>rekenwaarde dikte t.b.v. capaciteit        d' [m]</t>
  </si>
  <si>
    <t>code</t>
  </si>
  <si>
    <t>METAAL</t>
  </si>
  <si>
    <t>NATUURSTEEN</t>
  </si>
  <si>
    <t>METSELSTEEN</t>
  </si>
  <si>
    <t>GRINDBETON</t>
  </si>
  <si>
    <t>LICHTE BETONSOORTEN</t>
  </si>
  <si>
    <t>BIMS BETON</t>
  </si>
  <si>
    <t>PS-SCHUIMBETON</t>
  </si>
  <si>
    <t>CELLENBETON</t>
  </si>
  <si>
    <t>OVERIG ANORGANISCH MATERIAAL</t>
  </si>
  <si>
    <t>PLEISTERLAGEN</t>
  </si>
  <si>
    <t>TEGELS</t>
  </si>
  <si>
    <t>ORGANISCHE MATERIALEN</t>
  </si>
  <si>
    <t>HOUTPRODUCTEN</t>
  </si>
  <si>
    <t>KUNSTSTOFFEN</t>
  </si>
  <si>
    <t>Codes Materiaaldatabank</t>
  </si>
  <si>
    <r>
      <rPr>
        <b/>
        <sz val="12"/>
        <color theme="0"/>
        <rFont val="Calibri"/>
        <family val="2"/>
        <scheme val="minor"/>
      </rPr>
      <t>constructienaam</t>
    </r>
    <r>
      <rPr>
        <sz val="12"/>
        <color theme="0"/>
        <rFont val="Calibri"/>
        <family val="2"/>
        <scheme val="minor"/>
      </rPr>
      <t xml:space="preserve"> </t>
    </r>
    <r>
      <rPr>
        <i/>
        <sz val="12"/>
        <color theme="0"/>
        <rFont val="Calibri"/>
        <family val="2"/>
        <scheme val="minor"/>
      </rPr>
      <t>(constructie invullen vanaf bovenzijde)</t>
    </r>
  </si>
  <si>
    <t>EIGEN WAARDEN</t>
  </si>
  <si>
    <t>Vul eigen data in: Regels 250 t/m 280</t>
  </si>
  <si>
    <t>ga naar MateriaalDatabank</t>
  </si>
  <si>
    <t>Eigen waarden materiaaleigenschappen invullen:</t>
  </si>
  <si>
    <t>0/1</t>
  </si>
  <si>
    <t>niet/wel massa onderzijde constructie meetellen (0%/100%)</t>
  </si>
  <si>
    <r>
      <rPr>
        <sz val="24"/>
        <color theme="9"/>
        <rFont val="Segoe UI"/>
        <family val="2"/>
      </rPr>
      <t xml:space="preserve">Berekening </t>
    </r>
    <r>
      <rPr>
        <b/>
        <sz val="24"/>
        <color theme="0"/>
        <rFont val="Segoe UI"/>
        <family val="2"/>
      </rPr>
      <t xml:space="preserve">Effectieve interne warmtecapaciteit </t>
    </r>
    <r>
      <rPr>
        <sz val="24"/>
        <color theme="9"/>
        <rFont val="Segoe UI"/>
        <family val="2"/>
      </rPr>
      <t xml:space="preserve">volgens </t>
    </r>
    <r>
      <rPr>
        <b/>
        <sz val="24"/>
        <color theme="9"/>
        <rFont val="Segoe UI"/>
        <family val="2"/>
      </rPr>
      <t>NTA 8800 (Bijlage 2)</t>
    </r>
  </si>
  <si>
    <t>warmtegeleidings-coëfficiënt</t>
  </si>
  <si>
    <t>NTA8800     Check dikte max d=50% x totale dikte</t>
  </si>
  <si>
    <r>
      <rPr>
        <b/>
        <sz val="11"/>
        <color rgb="FFFFFF00"/>
        <rFont val="Calibri"/>
        <family val="2"/>
      </rPr>
      <t>λ</t>
    </r>
    <r>
      <rPr>
        <b/>
        <sz val="11"/>
        <color rgb="FFFFFF00"/>
        <rFont val="Calibri"/>
        <family val="2"/>
        <scheme val="minor"/>
      </rPr>
      <t xml:space="preserve"> (droog)</t>
    </r>
  </si>
  <si>
    <t>Met deze tool is de "Effectieve interne warmtecapaciteit" (Ci) te berekenen conform bijlage 2 van NTA 8800.</t>
  </si>
  <si>
    <t>STAPPENPLAN voor de Ci berekening:</t>
  </si>
  <si>
    <t>stap 2a</t>
  </si>
  <si>
    <t>stap 2b</t>
  </si>
  <si>
    <t>Selecteer van binnen naar buiten de volgorde van de materialen (codes: zie grijze kolom of tabblad "MateriaalDatabank")</t>
  </si>
  <si>
    <t>STAP 3: Voer per ingevoerde laag van de constructie de werkelijke laagdikte in</t>
  </si>
  <si>
    <t>Multiplex nader in te vullen</t>
  </si>
  <si>
    <t>Polystyreenschuim geexpandeerd</t>
  </si>
  <si>
    <t>Polystyreenschuim geextrudeerd</t>
  </si>
  <si>
    <t>STAP 1: Invoer gebruiksoppervlakte (Ag) van het te beschouwen deel van de woning (zone)</t>
  </si>
  <si>
    <t>STAP 4: Voer de oppervlakte van de constructielaag in (m2cons)</t>
  </si>
  <si>
    <t>STAP 6: Lees Ci/Ag af voor de BENG-berekening (hoogte van de eis BENG1: Basis of Lichte bouwmassa)</t>
  </si>
  <si>
    <t>STAP 5: Lees Ci af als input voor de BENG-berekening</t>
  </si>
  <si>
    <t>Voer per constructietype de opbouw in vanaf de zijde van de zone (binnenklimaat) naar buiten</t>
  </si>
  <si>
    <t>STAP 2: Definieer constructies</t>
  </si>
  <si>
    <t>Geef constructies een naam</t>
  </si>
  <si>
    <t>stap 2c</t>
  </si>
  <si>
    <t>Disclaimer:</t>
  </si>
  <si>
    <t>Hoewel aan dit rekenprogramma de grootst mogelijke zorg is besteed, kunnen er geen rechten aan worden ontleend.</t>
  </si>
  <si>
    <t>naam constructie 4</t>
  </si>
  <si>
    <t>naam constructie 5</t>
  </si>
  <si>
    <t>naam constructie 6</t>
  </si>
  <si>
    <t>HULPKOLOM VERBERGEN</t>
  </si>
  <si>
    <t>alleen in gele cellen + naam</t>
  </si>
  <si>
    <t>INVOER</t>
  </si>
  <si>
    <t>betonvloer bg</t>
  </si>
  <si>
    <t>kalkzandsteenwanden woningscheidend</t>
  </si>
  <si>
    <t>betonvloer tussenvloeren</t>
  </si>
  <si>
    <t>naam constructie 1</t>
  </si>
  <si>
    <t>naam constructie 2</t>
  </si>
  <si>
    <t>naam constructie 3</t>
  </si>
  <si>
    <t>NTA8800 Check Rreken max 0.25 m2K/W</t>
  </si>
  <si>
    <t>NTA8800 check max dikte      d_max=0.1 m</t>
  </si>
  <si>
    <t>Constructies die aan de boven en onderzijde in de zone liggen krijgen de waarde "1" bij 0/1</t>
  </si>
  <si>
    <t>"Eigen materialen" die niet in de MateriaalDatabank staan, kunnen in dat tabblad in de rijen 250 t/m 280 worden ingevoerd</t>
  </si>
  <si>
    <t>Na invoer van "1" wordt ook met de constructie gerekend in gespiegelde volgorde</t>
  </si>
  <si>
    <r>
      <t xml:space="preserve">Na invoer van "0" wordt </t>
    </r>
    <r>
      <rPr>
        <b/>
        <i/>
        <sz val="11"/>
        <color theme="1"/>
        <rFont val="Calibri"/>
        <family val="2"/>
        <scheme val="minor"/>
      </rPr>
      <t>niet</t>
    </r>
    <r>
      <rPr>
        <sz val="11"/>
        <color theme="1"/>
        <rFont val="Calibri"/>
        <family val="2"/>
        <scheme val="minor"/>
      </rPr>
      <t xml:space="preserve"> met de gespiegelde constructie gerekend (oppervlakte gespiegelde constructie= 0 m2)</t>
    </r>
  </si>
  <si>
    <t>Als er meerdere constructies met dezelfde opbouw zijn, dan mogen de oppervlaktes daarvan bij elkaar worden opgeteld</t>
  </si>
  <si>
    <t>(voorbeeld) anhydriet</t>
  </si>
  <si>
    <r>
      <rPr>
        <sz val="24"/>
        <color theme="9"/>
        <rFont val="Segoe UI"/>
        <family val="2"/>
      </rPr>
      <t xml:space="preserve">Berekening </t>
    </r>
    <r>
      <rPr>
        <b/>
        <sz val="24"/>
        <color theme="0"/>
        <rFont val="Segoe UI"/>
        <family val="2"/>
      </rPr>
      <t xml:space="preserve">Effectieve interne warmtecapaciteit Ci </t>
    </r>
    <r>
      <rPr>
        <sz val="24"/>
        <color theme="9"/>
        <rFont val="Segoe UI"/>
        <family val="2"/>
      </rPr>
      <t xml:space="preserve">volgens </t>
    </r>
    <r>
      <rPr>
        <b/>
        <sz val="24"/>
        <color theme="9"/>
        <rFont val="Segoe UI"/>
        <family val="2"/>
      </rPr>
      <t>NTA 8800 (Bijlage 2)</t>
    </r>
  </si>
  <si>
    <t>.</t>
  </si>
  <si>
    <t>De Ci-rekentool is ontwikkeld door wsp in opdracht van Betonhuis.</t>
  </si>
  <si>
    <t>Betonhuis, noch de opstellers van dit programma aanvaarden geen enkele aansprakelijkheid die zou kunnen voortvloeien uit de inhoud en/of uitkomsten van deze rekentool.</t>
  </si>
  <si>
    <t>awe24032021</t>
  </si>
  <si>
    <t>versie 1.0a</t>
  </si>
  <si>
    <t>awe01042021</t>
  </si>
  <si>
    <t>versie V1.0b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</si>
</sst>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4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0"/>
      <name val="Calibri"/>
      <family val="2"/>
    </font>
    <font>
      <sz val="11"/>
      <color theme="5"/>
      <name val="Calibri"/>
      <family val="2"/>
      <scheme val="minor"/>
    </font>
    <font>
      <sz val="24"/>
      <color theme="0"/>
      <name val="Segoe UI"/>
      <family val="2"/>
    </font>
    <font>
      <sz val="24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0"/>
      <name val="Symbol"/>
      <family val="1"/>
      <charset val="2"/>
    </font>
    <font>
      <i/>
      <sz val="11"/>
      <color theme="1" tint="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5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4"/>
      <color theme="0"/>
      <name val="Segoe UI"/>
      <family val="2"/>
    </font>
    <font>
      <b/>
      <sz val="24"/>
      <color theme="9"/>
      <name val="Segoe UI"/>
      <family val="2"/>
    </font>
    <font>
      <sz val="24"/>
      <color theme="9"/>
      <name val="Segoe UI"/>
      <family val="2"/>
    </font>
    <font>
      <sz val="10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rgb="FFFFD347"/>
      <name val="Calibri"/>
      <family val="2"/>
      <scheme val="minor"/>
    </font>
    <font>
      <sz val="11"/>
      <color rgb="FFFFD347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sz val="17"/>
      <color rgb="FF253786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rgb="FFFFFF00"/>
      <name val="Calibri"/>
      <family val="2"/>
    </font>
    <font>
      <sz val="11"/>
      <color theme="9" tint="-0.499984740745262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i/>
      <sz val="10"/>
      <color theme="9" tint="-0.499984740745262"/>
      <name val="Calibri"/>
      <family val="2"/>
      <scheme val="minor"/>
    </font>
    <font>
      <sz val="8"/>
      <color rgb="FF666666"/>
      <name val="Arial"/>
      <family val="2"/>
    </font>
    <font>
      <b/>
      <sz val="11"/>
      <color theme="9" tint="-0.49998474074526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8"/>
      <color rgb="FF666666"/>
      <name val="Arial"/>
      <family val="2"/>
    </font>
    <font>
      <b/>
      <sz val="11"/>
      <color theme="0" tint="-0.49998474074526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0" fillId="3" borderId="0" xfId="0" applyFill="1" applyProtection="1"/>
    <xf numFmtId="0" fontId="0" fillId="3" borderId="1" xfId="0" applyFont="1" applyFill="1" applyBorder="1" applyAlignment="1" applyProtection="1">
      <alignment horizontal="center"/>
    </xf>
    <xf numFmtId="165" fontId="0" fillId="3" borderId="1" xfId="0" applyNumberFormat="1" applyFont="1" applyFill="1" applyBorder="1" applyAlignment="1" applyProtection="1">
      <alignment horizontal="center"/>
    </xf>
    <xf numFmtId="0" fontId="5" fillId="6" borderId="0" xfId="0" applyFont="1" applyFill="1" applyAlignment="1" applyProtection="1">
      <alignment horizontal="left" indent="1"/>
    </xf>
    <xf numFmtId="0" fontId="6" fillId="6" borderId="0" xfId="0" applyFont="1" applyFill="1" applyProtection="1"/>
    <xf numFmtId="0" fontId="2" fillId="6" borderId="0" xfId="0" applyFont="1" applyFill="1" applyBorder="1" applyProtection="1"/>
    <xf numFmtId="0" fontId="2" fillId="6" borderId="2" xfId="0" applyFont="1" applyFill="1" applyBorder="1" applyAlignment="1" applyProtection="1">
      <alignment horizontal="center" wrapText="1"/>
    </xf>
    <xf numFmtId="0" fontId="3" fillId="6" borderId="2" xfId="0" applyFont="1" applyFill="1" applyBorder="1" applyAlignment="1" applyProtection="1">
      <alignment horizontal="center" wrapText="1"/>
    </xf>
    <xf numFmtId="1" fontId="0" fillId="3" borderId="1" xfId="0" applyNumberFormat="1" applyFont="1" applyFill="1" applyBorder="1" applyAlignment="1" applyProtection="1">
      <alignment horizontal="center"/>
    </xf>
    <xf numFmtId="2" fontId="0" fillId="3" borderId="1" xfId="0" applyNumberFormat="1" applyFont="1" applyFill="1" applyBorder="1" applyAlignment="1" applyProtection="1">
      <alignment horizontal="center"/>
    </xf>
    <xf numFmtId="9" fontId="0" fillId="3" borderId="1" xfId="0" applyNumberFormat="1" applyFont="1" applyFill="1" applyBorder="1" applyAlignment="1" applyProtection="1">
      <alignment horizontal="center"/>
    </xf>
    <xf numFmtId="165" fontId="0" fillId="3" borderId="0" xfId="0" applyNumberFormat="1" applyFill="1" applyProtection="1"/>
    <xf numFmtId="1" fontId="0" fillId="3" borderId="0" xfId="0" applyNumberFormat="1" applyFill="1" applyProtection="1"/>
    <xf numFmtId="0" fontId="6" fillId="3" borderId="0" xfId="0" applyFont="1" applyFill="1" applyProtection="1"/>
    <xf numFmtId="0" fontId="12" fillId="7" borderId="0" xfId="0" applyFont="1" applyFill="1" applyAlignment="1" applyProtection="1">
      <alignment horizontal="center"/>
    </xf>
    <xf numFmtId="0" fontId="1" fillId="4" borderId="0" xfId="0" applyFont="1" applyFill="1" applyAlignment="1" applyProtection="1">
      <alignment horizontal="center"/>
    </xf>
    <xf numFmtId="1" fontId="1" fillId="4" borderId="0" xfId="0" applyNumberFormat="1" applyFont="1" applyFill="1" applyAlignment="1" applyProtection="1">
      <alignment horizontal="center"/>
    </xf>
    <xf numFmtId="0" fontId="0" fillId="7" borderId="0" xfId="0" applyFill="1" applyProtection="1"/>
    <xf numFmtId="0" fontId="7" fillId="4" borderId="0" xfId="0" applyFont="1" applyFill="1" applyAlignment="1" applyProtection="1"/>
    <xf numFmtId="0" fontId="1" fillId="4" borderId="0" xfId="0" applyFont="1" applyFill="1" applyProtection="1"/>
    <xf numFmtId="0" fontId="0" fillId="6" borderId="0" xfId="0" applyFill="1" applyProtection="1"/>
    <xf numFmtId="0" fontId="1" fillId="6" borderId="0" xfId="0" applyFont="1" applyFill="1" applyProtection="1"/>
    <xf numFmtId="0" fontId="12" fillId="6" borderId="0" xfId="0" applyFont="1" applyFill="1" applyAlignment="1" applyProtection="1">
      <alignment horizontal="center"/>
    </xf>
    <xf numFmtId="0" fontId="1" fillId="6" borderId="0" xfId="0" applyFont="1" applyFill="1" applyAlignment="1" applyProtection="1">
      <alignment horizontal="center"/>
    </xf>
    <xf numFmtId="0" fontId="0" fillId="6" borderId="0" xfId="0" applyFill="1" applyBorder="1" applyProtection="1"/>
    <xf numFmtId="0" fontId="9" fillId="6" borderId="0" xfId="0" applyFont="1" applyFill="1" applyBorder="1" applyAlignment="1" applyProtection="1">
      <alignment horizontal="right"/>
    </xf>
    <xf numFmtId="164" fontId="9" fillId="6" borderId="0" xfId="0" applyNumberFormat="1" applyFont="1" applyFill="1" applyBorder="1" applyAlignment="1" applyProtection="1">
      <alignment horizontal="center"/>
    </xf>
    <xf numFmtId="0" fontId="9" fillId="6" borderId="0" xfId="0" applyFont="1" applyFill="1" applyBorder="1" applyProtection="1"/>
    <xf numFmtId="1" fontId="0" fillId="6" borderId="0" xfId="0" applyNumberFormat="1" applyFont="1" applyFill="1" applyBorder="1" applyAlignment="1" applyProtection="1">
      <alignment horizontal="center"/>
    </xf>
    <xf numFmtId="0" fontId="11" fillId="7" borderId="0" xfId="0" applyFont="1" applyFill="1" applyAlignment="1" applyProtection="1">
      <alignment horizontal="center"/>
    </xf>
    <xf numFmtId="165" fontId="1" fillId="4" borderId="0" xfId="0" applyNumberFormat="1" applyFont="1" applyFill="1" applyAlignment="1" applyProtection="1">
      <alignment horizontal="center"/>
    </xf>
    <xf numFmtId="0" fontId="3" fillId="6" borderId="0" xfId="0" applyFont="1" applyFill="1" applyBorder="1" applyAlignment="1" applyProtection="1">
      <alignment horizontal="center" wrapText="1"/>
    </xf>
    <xf numFmtId="0" fontId="2" fillId="6" borderId="0" xfId="0" applyFont="1" applyFill="1" applyBorder="1" applyAlignment="1" applyProtection="1">
      <alignment horizontal="center" wrapText="1"/>
    </xf>
    <xf numFmtId="0" fontId="2" fillId="5" borderId="0" xfId="0" applyFont="1" applyFill="1" applyBorder="1" applyAlignment="1" applyProtection="1">
      <alignment horizontal="center" wrapText="1"/>
    </xf>
    <xf numFmtId="0" fontId="2" fillId="8" borderId="0" xfId="0" applyFont="1" applyFill="1" applyBorder="1" applyAlignment="1" applyProtection="1">
      <alignment horizontal="center" wrapText="1"/>
    </xf>
    <xf numFmtId="165" fontId="0" fillId="3" borderId="2" xfId="0" applyNumberFormat="1" applyFont="1" applyFill="1" applyBorder="1" applyAlignment="1" applyProtection="1">
      <alignment horizontal="center"/>
    </xf>
    <xf numFmtId="2" fontId="0" fillId="3" borderId="2" xfId="0" applyNumberFormat="1" applyFont="1" applyFill="1" applyBorder="1" applyAlignment="1" applyProtection="1">
      <alignment horizontal="center"/>
    </xf>
    <xf numFmtId="9" fontId="0" fillId="3" borderId="2" xfId="0" applyNumberFormat="1" applyFont="1" applyFill="1" applyBorder="1" applyAlignment="1" applyProtection="1">
      <alignment horizontal="center"/>
    </xf>
    <xf numFmtId="0" fontId="2" fillId="10" borderId="0" xfId="0" applyFont="1" applyFill="1" applyBorder="1" applyAlignment="1" applyProtection="1">
      <alignment horizontal="center" wrapText="1"/>
    </xf>
    <xf numFmtId="165" fontId="0" fillId="10" borderId="2" xfId="0" applyNumberFormat="1" applyFont="1" applyFill="1" applyBorder="1" applyAlignment="1" applyProtection="1">
      <alignment horizontal="center"/>
    </xf>
    <xf numFmtId="165" fontId="1" fillId="10" borderId="2" xfId="0" applyNumberFormat="1" applyFont="1" applyFill="1" applyBorder="1" applyAlignment="1" applyProtection="1">
      <alignment horizontal="center"/>
    </xf>
    <xf numFmtId="165" fontId="0" fillId="10" borderId="1" xfId="0" applyNumberFormat="1" applyFont="1" applyFill="1" applyBorder="1" applyAlignment="1" applyProtection="1">
      <alignment horizontal="center"/>
    </xf>
    <xf numFmtId="165" fontId="1" fillId="10" borderId="1" xfId="0" applyNumberFormat="1" applyFont="1" applyFill="1" applyBorder="1" applyAlignment="1" applyProtection="1">
      <alignment horizontal="center"/>
    </xf>
    <xf numFmtId="1" fontId="0" fillId="6" borderId="2" xfId="0" applyNumberFormat="1" applyFont="1" applyFill="1" applyBorder="1" applyAlignment="1" applyProtection="1">
      <alignment horizontal="center"/>
    </xf>
    <xf numFmtId="165" fontId="0" fillId="6" borderId="2" xfId="0" applyNumberFormat="1" applyFont="1" applyFill="1" applyBorder="1" applyAlignment="1" applyProtection="1">
      <alignment horizontal="center"/>
    </xf>
    <xf numFmtId="1" fontId="0" fillId="6" borderId="1" xfId="0" applyNumberFormat="1" applyFont="1" applyFill="1" applyBorder="1" applyAlignment="1" applyProtection="1">
      <alignment horizontal="center"/>
    </xf>
    <xf numFmtId="165" fontId="0" fillId="6" borderId="1" xfId="0" applyNumberFormat="1" applyFont="1" applyFill="1" applyBorder="1" applyAlignment="1" applyProtection="1">
      <alignment horizontal="center"/>
    </xf>
    <xf numFmtId="0" fontId="0" fillId="6" borderId="1" xfId="0" applyFont="1" applyFill="1" applyBorder="1" applyAlignment="1" applyProtection="1">
      <alignment horizontal="center"/>
    </xf>
    <xf numFmtId="0" fontId="0" fillId="11" borderId="1" xfId="0" applyFont="1" applyFill="1" applyBorder="1" applyAlignment="1" applyProtection="1">
      <alignment horizontal="center"/>
    </xf>
    <xf numFmtId="0" fontId="21" fillId="11" borderId="1" xfId="0" applyFont="1" applyFill="1" applyBorder="1" applyProtection="1"/>
    <xf numFmtId="0" fontId="22" fillId="11" borderId="1" xfId="0" applyFont="1" applyFill="1" applyBorder="1" applyAlignment="1" applyProtection="1">
      <alignment horizontal="center"/>
    </xf>
    <xf numFmtId="0" fontId="14" fillId="9" borderId="1" xfId="0" applyFont="1" applyFill="1" applyBorder="1" applyProtection="1"/>
    <xf numFmtId="0" fontId="0" fillId="9" borderId="1" xfId="0" applyFont="1" applyFill="1" applyBorder="1" applyAlignment="1" applyProtection="1">
      <alignment horizontal="center"/>
    </xf>
    <xf numFmtId="0" fontId="4" fillId="9" borderId="1" xfId="0" applyFont="1" applyFill="1" applyBorder="1" applyAlignment="1" applyProtection="1">
      <alignment horizontal="center"/>
    </xf>
    <xf numFmtId="0" fontId="9" fillId="11" borderId="1" xfId="0" applyFont="1" applyFill="1" applyBorder="1" applyAlignment="1" applyProtection="1">
      <alignment horizontal="right"/>
    </xf>
    <xf numFmtId="164" fontId="9" fillId="11" borderId="1" xfId="0" applyNumberFormat="1" applyFont="1" applyFill="1" applyBorder="1" applyAlignment="1" applyProtection="1">
      <alignment horizontal="center"/>
    </xf>
    <xf numFmtId="0" fontId="9" fillId="11" borderId="1" xfId="0" applyFont="1" applyFill="1" applyBorder="1" applyProtection="1"/>
    <xf numFmtId="1" fontId="0" fillId="11" borderId="1" xfId="0" applyNumberFormat="1" applyFont="1" applyFill="1" applyBorder="1" applyAlignment="1" applyProtection="1">
      <alignment horizontal="center"/>
    </xf>
    <xf numFmtId="0" fontId="0" fillId="11" borderId="2" xfId="0" applyFont="1" applyFill="1" applyBorder="1" applyAlignment="1" applyProtection="1">
      <alignment horizontal="center"/>
    </xf>
    <xf numFmtId="0" fontId="0" fillId="3" borderId="0" xfId="0" applyFill="1" applyBorder="1" applyProtection="1"/>
    <xf numFmtId="0" fontId="9" fillId="3" borderId="1" xfId="0" applyFont="1" applyFill="1" applyBorder="1" applyAlignment="1" applyProtection="1">
      <alignment horizontal="right"/>
    </xf>
    <xf numFmtId="164" fontId="9" fillId="3" borderId="1" xfId="0" applyNumberFormat="1" applyFont="1" applyFill="1" applyBorder="1" applyAlignment="1" applyProtection="1">
      <alignment horizontal="center"/>
    </xf>
    <xf numFmtId="0" fontId="9" fillId="3" borderId="1" xfId="0" applyFont="1" applyFill="1" applyBorder="1" applyProtection="1"/>
    <xf numFmtId="165" fontId="0" fillId="3" borderId="0" xfId="0" applyNumberFormat="1" applyFill="1" applyBorder="1" applyProtection="1"/>
    <xf numFmtId="0" fontId="2" fillId="6" borderId="0" xfId="0" applyFont="1" applyFill="1" applyBorder="1" applyAlignment="1" applyProtection="1">
      <alignment wrapText="1"/>
    </xf>
    <xf numFmtId="0" fontId="0" fillId="14" borderId="0" xfId="0" applyFill="1" applyProtection="1"/>
    <xf numFmtId="0" fontId="0" fillId="14" borderId="0" xfId="0" applyFill="1" applyBorder="1" applyProtection="1"/>
    <xf numFmtId="0" fontId="4" fillId="14" borderId="1" xfId="0" applyFont="1" applyFill="1" applyBorder="1" applyAlignment="1" applyProtection="1">
      <alignment horizontal="center"/>
    </xf>
    <xf numFmtId="164" fontId="0" fillId="14" borderId="2" xfId="0" applyNumberFormat="1" applyFont="1" applyFill="1" applyBorder="1" applyAlignment="1" applyProtection="1">
      <alignment horizontal="center"/>
      <protection locked="0"/>
    </xf>
    <xf numFmtId="164" fontId="0" fillId="14" borderId="1" xfId="0" applyNumberFormat="1" applyFont="1" applyFill="1" applyBorder="1" applyAlignment="1" applyProtection="1">
      <alignment horizontal="center"/>
      <protection locked="0"/>
    </xf>
    <xf numFmtId="0" fontId="0" fillId="14" borderId="2" xfId="0" applyFont="1" applyFill="1" applyBorder="1" applyAlignment="1" applyProtection="1">
      <alignment horizontal="center"/>
      <protection locked="0"/>
    </xf>
    <xf numFmtId="1" fontId="27" fillId="11" borderId="1" xfId="0" applyNumberFormat="1" applyFont="1" applyFill="1" applyBorder="1" applyAlignment="1" applyProtection="1">
      <alignment horizontal="center"/>
    </xf>
    <xf numFmtId="0" fontId="0" fillId="9" borderId="0" xfId="0" applyFill="1" applyProtection="1"/>
    <xf numFmtId="0" fontId="30" fillId="14" borderId="0" xfId="0" applyFont="1" applyFill="1" applyAlignment="1" applyProtection="1">
      <alignment horizontal="center"/>
    </xf>
    <xf numFmtId="0" fontId="31" fillId="4" borderId="0" xfId="0" applyFont="1" applyFill="1" applyAlignment="1" applyProtection="1">
      <alignment horizontal="center"/>
    </xf>
    <xf numFmtId="0" fontId="0" fillId="3" borderId="0" xfId="0" quotePrefix="1" applyFill="1" applyProtection="1"/>
    <xf numFmtId="0" fontId="32" fillId="3" borderId="0" xfId="0" quotePrefix="1" applyFont="1" applyFill="1" applyProtection="1"/>
    <xf numFmtId="0" fontId="34" fillId="14" borderId="0" xfId="0" applyFont="1" applyFill="1" applyProtection="1"/>
    <xf numFmtId="0" fontId="34" fillId="9" borderId="0" xfId="0" applyFont="1" applyFill="1" applyProtection="1"/>
    <xf numFmtId="0" fontId="5" fillId="3" borderId="0" xfId="0" applyFont="1" applyFill="1" applyAlignment="1" applyProtection="1">
      <alignment horizontal="left" indent="1"/>
    </xf>
    <xf numFmtId="0" fontId="12" fillId="3" borderId="0" xfId="0" applyFont="1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0" fillId="6" borderId="0" xfId="0" quotePrefix="1" applyFill="1" applyAlignment="1" applyProtection="1">
      <alignment horizontal="right"/>
    </xf>
    <xf numFmtId="0" fontId="0" fillId="15" borderId="0" xfId="0" applyFill="1"/>
    <xf numFmtId="0" fontId="25" fillId="14" borderId="2" xfId="0" quotePrefix="1" applyFont="1" applyFill="1" applyBorder="1" applyProtection="1">
      <protection locked="0"/>
    </xf>
    <xf numFmtId="0" fontId="35" fillId="14" borderId="1" xfId="0" applyFont="1" applyFill="1" applyBorder="1" applyProtection="1">
      <protection locked="0"/>
    </xf>
    <xf numFmtId="165" fontId="35" fillId="14" borderId="1" xfId="0" applyNumberFormat="1" applyFont="1" applyFill="1" applyBorder="1" applyAlignment="1" applyProtection="1">
      <alignment horizontal="center"/>
      <protection locked="0"/>
    </xf>
    <xf numFmtId="1" fontId="35" fillId="14" borderId="1" xfId="0" applyNumberFormat="1" applyFont="1" applyFill="1" applyBorder="1" applyAlignment="1" applyProtection="1">
      <alignment horizontal="center"/>
      <protection locked="0"/>
    </xf>
    <xf numFmtId="0" fontId="25" fillId="14" borderId="2" xfId="0" quotePrefix="1" applyFont="1" applyFill="1" applyBorder="1" applyAlignment="1" applyProtection="1">
      <alignment horizontal="center"/>
      <protection locked="0"/>
    </xf>
    <xf numFmtId="0" fontId="39" fillId="6" borderId="0" xfId="0" applyFont="1" applyFill="1" applyProtection="1"/>
    <xf numFmtId="0" fontId="40" fillId="6" borderId="0" xfId="0" applyFont="1" applyFill="1" applyProtection="1"/>
    <xf numFmtId="0" fontId="6" fillId="14" borderId="0" xfId="0" applyFont="1" applyFill="1" applyProtection="1"/>
    <xf numFmtId="2" fontId="1" fillId="4" borderId="0" xfId="0" applyNumberFormat="1" applyFont="1" applyFill="1" applyAlignment="1" applyProtection="1">
      <alignment horizontal="center"/>
    </xf>
    <xf numFmtId="0" fontId="44" fillId="14" borderId="0" xfId="0" applyFont="1" applyFill="1" applyProtection="1"/>
    <xf numFmtId="0" fontId="0" fillId="0" borderId="0" xfId="0" applyProtection="1">
      <protection locked="0"/>
    </xf>
    <xf numFmtId="1" fontId="0" fillId="6" borderId="0" xfId="0" applyNumberFormat="1" applyFill="1" applyProtection="1"/>
    <xf numFmtId="0" fontId="0" fillId="0" borderId="0" xfId="0" applyProtection="1"/>
    <xf numFmtId="1" fontId="0" fillId="0" borderId="0" xfId="0" applyNumberFormat="1" applyProtection="1"/>
    <xf numFmtId="0" fontId="0" fillId="6" borderId="0" xfId="0" applyFill="1" applyAlignment="1" applyProtection="1">
      <alignment horizontal="center"/>
    </xf>
    <xf numFmtId="0" fontId="0" fillId="6" borderId="0" xfId="0" applyFill="1" applyAlignment="1" applyProtection="1">
      <alignment horizontal="center" vertical="top" wrapText="1"/>
    </xf>
    <xf numFmtId="1" fontId="13" fillId="6" borderId="0" xfId="0" applyNumberFormat="1" applyFont="1" applyFill="1" applyAlignment="1" applyProtection="1">
      <alignment horizontal="center" vertical="top" wrapText="1"/>
    </xf>
    <xf numFmtId="1" fontId="0" fillId="6" borderId="0" xfId="0" applyNumberFormat="1" applyFill="1" applyAlignment="1" applyProtection="1">
      <alignment horizontal="center" vertical="top" wrapText="1"/>
    </xf>
    <xf numFmtId="2" fontId="0" fillId="0" borderId="0" xfId="0" applyNumberFormat="1" applyProtection="1"/>
    <xf numFmtId="1" fontId="13" fillId="6" borderId="0" xfId="0" applyNumberFormat="1" applyFont="1" applyFill="1" applyAlignment="1" applyProtection="1">
      <alignment horizontal="center"/>
    </xf>
    <xf numFmtId="1" fontId="0" fillId="6" borderId="0" xfId="0" applyNumberForma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2" borderId="1" xfId="0" applyFont="1" applyFill="1" applyBorder="1" applyProtection="1"/>
    <xf numFmtId="165" fontId="10" fillId="2" borderId="1" xfId="0" applyNumberFormat="1" applyFont="1" applyFill="1" applyBorder="1" applyAlignment="1" applyProtection="1">
      <alignment horizontal="center"/>
    </xf>
    <xf numFmtId="1" fontId="10" fillId="2" borderId="1" xfId="0" applyNumberFormat="1" applyFont="1" applyFill="1" applyBorder="1" applyAlignment="1" applyProtection="1">
      <alignment horizontal="center"/>
    </xf>
    <xf numFmtId="0" fontId="0" fillId="2" borderId="0" xfId="0" applyFont="1" applyFill="1" applyBorder="1" applyProtection="1"/>
    <xf numFmtId="0" fontId="35" fillId="0" borderId="0" xfId="0" applyFont="1" applyProtection="1"/>
    <xf numFmtId="0" fontId="36" fillId="13" borderId="0" xfId="0" applyFont="1" applyFill="1" applyAlignment="1" applyProtection="1">
      <alignment horizontal="left"/>
    </xf>
    <xf numFmtId="0" fontId="36" fillId="13" borderId="0" xfId="0" applyFont="1" applyFill="1" applyAlignment="1" applyProtection="1">
      <alignment horizontal="center"/>
    </xf>
    <xf numFmtId="1" fontId="37" fillId="13" borderId="0" xfId="0" applyNumberFormat="1" applyFont="1" applyFill="1" applyAlignment="1" applyProtection="1">
      <alignment horizontal="center"/>
    </xf>
    <xf numFmtId="1" fontId="36" fillId="13" borderId="0" xfId="0" applyNumberFormat="1" applyFont="1" applyFill="1" applyAlignment="1" applyProtection="1">
      <alignment horizontal="center"/>
    </xf>
    <xf numFmtId="1" fontId="0" fillId="0" borderId="0" xfId="0" applyNumberFormat="1" applyProtection="1">
      <protection locked="0"/>
    </xf>
    <xf numFmtId="0" fontId="25" fillId="0" borderId="0" xfId="0" applyFont="1" applyProtection="1">
      <protection locked="0"/>
    </xf>
    <xf numFmtId="0" fontId="42" fillId="0" borderId="0" xfId="0" applyFont="1" applyProtection="1"/>
    <xf numFmtId="0" fontId="38" fillId="0" borderId="0" xfId="0" applyFont="1" applyProtection="1"/>
    <xf numFmtId="0" fontId="7" fillId="10" borderId="0" xfId="0" applyFont="1" applyFill="1" applyProtection="1"/>
    <xf numFmtId="0" fontId="0" fillId="10" borderId="0" xfId="0" applyFill="1" applyProtection="1"/>
    <xf numFmtId="0" fontId="7" fillId="0" borderId="0" xfId="0" applyFont="1" applyProtection="1"/>
    <xf numFmtId="0" fontId="0" fillId="10" borderId="0" xfId="0" quotePrefix="1" applyFill="1" applyProtection="1"/>
    <xf numFmtId="0" fontId="41" fillId="0" borderId="0" xfId="0" applyFont="1" applyProtection="1"/>
    <xf numFmtId="2" fontId="30" fillId="14" borderId="0" xfId="0" applyNumberFormat="1" applyFont="1" applyFill="1" applyAlignment="1" applyProtection="1">
      <alignment horizontal="center"/>
      <protection locked="0"/>
    </xf>
    <xf numFmtId="0" fontId="0" fillId="14" borderId="0" xfId="0" applyFill="1" applyBorder="1" applyProtection="1">
      <protection locked="0"/>
    </xf>
    <xf numFmtId="0" fontId="4" fillId="14" borderId="1" xfId="0" applyFont="1" applyFill="1" applyBorder="1" applyAlignment="1" applyProtection="1">
      <alignment horizontal="center"/>
      <protection locked="0"/>
    </xf>
    <xf numFmtId="164" fontId="0" fillId="14" borderId="2" xfId="0" applyNumberFormat="1" applyFont="1" applyFill="1" applyBorder="1" applyAlignment="1" applyProtection="1">
      <alignment horizontal="center"/>
    </xf>
    <xf numFmtId="164" fontId="0" fillId="14" borderId="1" xfId="0" applyNumberFormat="1" applyFont="1" applyFill="1" applyBorder="1" applyAlignment="1" applyProtection="1">
      <alignment horizontal="center"/>
    </xf>
    <xf numFmtId="0" fontId="0" fillId="14" borderId="2" xfId="0" applyFont="1" applyFill="1" applyBorder="1" applyAlignment="1" applyProtection="1">
      <alignment horizontal="center"/>
    </xf>
    <xf numFmtId="0" fontId="33" fillId="0" borderId="0" xfId="0" applyFont="1" applyProtection="1"/>
    <xf numFmtId="2" fontId="12" fillId="11" borderId="2" xfId="0" applyNumberFormat="1" applyFont="1" applyFill="1" applyBorder="1" applyAlignment="1" applyProtection="1">
      <alignment horizontal="center"/>
    </xf>
    <xf numFmtId="2" fontId="0" fillId="11" borderId="2" xfId="0" applyNumberFormat="1" applyFont="1" applyFill="1" applyBorder="1" applyAlignment="1" applyProtection="1">
      <alignment horizontal="center"/>
    </xf>
    <xf numFmtId="0" fontId="28" fillId="11" borderId="2" xfId="0" applyFont="1" applyFill="1" applyBorder="1" applyAlignment="1" applyProtection="1">
      <alignment horizontal="right"/>
    </xf>
    <xf numFmtId="0" fontId="0" fillId="12" borderId="2" xfId="0" quotePrefix="1" applyFont="1" applyFill="1" applyBorder="1" applyProtection="1"/>
    <xf numFmtId="0" fontId="15" fillId="0" borderId="1" xfId="0" applyFont="1" applyFill="1" applyBorder="1" applyAlignment="1" applyProtection="1">
      <alignment horizontal="center"/>
    </xf>
    <xf numFmtId="165" fontId="0" fillId="11" borderId="1" xfId="0" applyNumberFormat="1" applyFont="1" applyFill="1" applyBorder="1" applyAlignment="1" applyProtection="1">
      <alignment horizontal="center"/>
    </xf>
    <xf numFmtId="9" fontId="0" fillId="11" borderId="1" xfId="0" applyNumberFormat="1" applyFont="1" applyFill="1" applyBorder="1" applyAlignment="1" applyProtection="1">
      <alignment horizontal="center"/>
    </xf>
    <xf numFmtId="2" fontId="12" fillId="3" borderId="1" xfId="0" applyNumberFormat="1" applyFont="1" applyFill="1" applyBorder="1" applyAlignment="1" applyProtection="1">
      <alignment horizontal="center"/>
    </xf>
    <xf numFmtId="0" fontId="20" fillId="9" borderId="1" xfId="0" applyFont="1" applyFill="1" applyBorder="1" applyAlignment="1" applyProtection="1">
      <alignment horizontal="left"/>
    </xf>
    <xf numFmtId="0" fontId="20" fillId="9" borderId="1" xfId="0" applyFont="1" applyFill="1" applyBorder="1" applyProtection="1"/>
    <xf numFmtId="0" fontId="20" fillId="9" borderId="1" xfId="0" applyFont="1" applyFill="1" applyBorder="1" applyAlignment="1" applyProtection="1">
      <alignment horizontal="center"/>
    </xf>
    <xf numFmtId="0" fontId="26" fillId="9" borderId="1" xfId="0" applyFont="1" applyFill="1" applyBorder="1" applyAlignment="1" applyProtection="1">
      <alignment horizontal="center"/>
    </xf>
    <xf numFmtId="0" fontId="15" fillId="9" borderId="1" xfId="0" applyFont="1" applyFill="1" applyBorder="1" applyAlignment="1" applyProtection="1">
      <alignment horizontal="center"/>
    </xf>
    <xf numFmtId="2" fontId="12" fillId="11" borderId="1" xfId="0" applyNumberFormat="1" applyFont="1" applyFill="1" applyBorder="1" applyAlignment="1" applyProtection="1">
      <alignment horizontal="center"/>
    </xf>
    <xf numFmtId="2" fontId="0" fillId="11" borderId="1" xfId="0" applyNumberFormat="1" applyFont="1" applyFill="1" applyBorder="1" applyAlignment="1" applyProtection="1">
      <alignment horizontal="center"/>
    </xf>
    <xf numFmtId="165" fontId="0" fillId="6" borderId="0" xfId="0" applyNumberFormat="1" applyFont="1" applyFill="1" applyBorder="1" applyAlignment="1" applyProtection="1">
      <alignment horizontal="center"/>
    </xf>
    <xf numFmtId="0" fontId="0" fillId="6" borderId="0" xfId="0" applyFont="1" applyFill="1" applyBorder="1" applyAlignment="1" applyProtection="1">
      <alignment horizontal="center"/>
    </xf>
    <xf numFmtId="0" fontId="45" fillId="0" borderId="0" xfId="0" applyFont="1" applyProtection="1"/>
    <xf numFmtId="0" fontId="46" fillId="14" borderId="3" xfId="0" applyFont="1" applyFill="1" applyBorder="1" applyProtection="1">
      <protection locked="0"/>
    </xf>
    <xf numFmtId="0" fontId="0" fillId="7" borderId="0" xfId="0" applyFill="1" applyAlignment="1" applyProtection="1">
      <alignment textRotation="90"/>
    </xf>
    <xf numFmtId="0" fontId="29" fillId="14" borderId="0" xfId="0" applyFont="1" applyFill="1" applyAlignment="1" applyProtection="1">
      <alignment horizontal="center"/>
    </xf>
    <xf numFmtId="0" fontId="19" fillId="7" borderId="0" xfId="0" applyFont="1" applyFill="1" applyAlignment="1" applyProtection="1">
      <alignment textRotation="90"/>
    </xf>
  </cellXfs>
  <cellStyles count="1">
    <cellStyle name="Standaard" xfId="0" builtinId="0"/>
  </cellStyles>
  <dxfs count="791"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EB"/>
      </font>
      <numFmt numFmtId="2" formatCode="0.00"/>
      <fill>
        <patternFill>
          <fgColor rgb="FFFFFFEB"/>
        </patternFill>
      </fill>
    </dxf>
    <dxf>
      <font>
        <color theme="0" tint="-4.9989318521683403E-2"/>
      </font>
      <fill>
        <patternFill>
          <fgColor rgb="FFFFFFF3"/>
          <bgColor theme="0" tint="-4.9989318521683403E-2"/>
        </patternFill>
      </fill>
    </dxf>
    <dxf>
      <font>
        <color theme="0" tint="-4.9989318521683403E-2"/>
      </font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rgb="FFFFFFEB"/>
      </font>
      <fill>
        <patternFill>
          <bgColor rgb="FFFFFFF3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2" defaultPivotStyle="PivotStyleLight16"/>
  <colors>
    <mruColors>
      <color rgb="FFFCF6F6"/>
      <color rgb="FFC0504D"/>
      <color rgb="FFFFFFCC"/>
      <color rgb="FFFFFFEB"/>
      <color rgb="FFFFFF99"/>
      <color rgb="FFFF3300"/>
      <color rgb="FFFFFFFF"/>
      <color rgb="FFFF9966"/>
      <color rgb="FFFFFFF3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600" b="1">
                <a:solidFill>
                  <a:schemeClr val="accent6">
                    <a:lumMod val="75000"/>
                  </a:schemeClr>
                </a:solidFill>
              </a:rPr>
              <a:t>Effectieve interne warmtecapaciteit </a:t>
            </a:r>
          </a:p>
          <a:p>
            <a:pPr>
              <a:defRPr sz="1600" b="1">
                <a:solidFill>
                  <a:schemeClr val="accent6">
                    <a:lumMod val="75000"/>
                  </a:schemeClr>
                </a:solidFill>
              </a:defRPr>
            </a:pPr>
            <a:r>
              <a:rPr lang="nl-NL" sz="1600" b="1" baseline="0">
                <a:solidFill>
                  <a:schemeClr val="accent6">
                    <a:lumMod val="75000"/>
                  </a:schemeClr>
                </a:solidFill>
              </a:rPr>
              <a:t>Ci  [kJ/K.</a:t>
            </a:r>
            <a:r>
              <a:rPr lang="nl-NL" sz="1600" b="1" i="0" u="none" strike="noStrike" baseline="0">
                <a:effectLst/>
              </a:rPr>
              <a:t>m</a:t>
            </a:r>
            <a:r>
              <a:rPr lang="nl-NL" sz="1600" b="1" i="0" u="none" strike="noStrike" baseline="30000">
                <a:effectLst/>
              </a:rPr>
              <a:t>2</a:t>
            </a:r>
            <a:r>
              <a:rPr lang="nl-NL" sz="1600" b="1" i="0" u="none" strike="noStrike" baseline="0">
                <a:effectLst/>
              </a:rPr>
              <a:t>Ag] </a:t>
            </a:r>
          </a:p>
          <a:p>
            <a:pPr>
              <a:defRPr sz="1600" b="1">
                <a:solidFill>
                  <a:schemeClr val="accent6">
                    <a:lumMod val="75000"/>
                  </a:schemeClr>
                </a:solidFill>
              </a:defRPr>
            </a:pPr>
            <a:r>
              <a:rPr lang="nl-NL" sz="1600" b="1" i="0" u="none" strike="noStrike" baseline="0">
                <a:effectLst/>
              </a:rPr>
              <a:t>conform </a:t>
            </a:r>
            <a:r>
              <a:rPr lang="nl-NL" sz="1600" b="1" baseline="0">
                <a:solidFill>
                  <a:schemeClr val="accent6">
                    <a:lumMod val="75000"/>
                  </a:schemeClr>
                </a:solidFill>
              </a:rPr>
              <a:t>Bijlage 2 NTA8800</a:t>
            </a:r>
            <a:endParaRPr lang="nl-NL" sz="1600" b="1">
              <a:solidFill>
                <a:schemeClr val="accent6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0181131249910386"/>
          <c:y val="2.239958024547689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3594866319676141"/>
          <c:y val="0.13584577114427859"/>
          <c:w val="0.32072223559044577"/>
          <c:h val="0.782216084929682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'VOORBEELD Ci berekening'!$AI$16</c:f>
              <c:strCache>
                <c:ptCount val="1"/>
                <c:pt idx="0">
                  <c:v>betonvloer tussenvloeren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berekening'!$AJ$16</c:f>
              <c:numCache>
                <c:formatCode>0</c:formatCode>
                <c:ptCount val="1"/>
                <c:pt idx="0">
                  <c:v>128.63685245901638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4-4C51-A7C9-FB019AAB020F}"/>
            </c:ext>
          </c:extLst>
        </c:ser>
        <c:ser>
          <c:idx val="1"/>
          <c:order val="1"/>
          <c:tx>
            <c:strRef>
              <c:f>'VOORBEELD Ci berekening'!$AI$17</c:f>
              <c:strCache>
                <c:ptCount val="1"/>
                <c:pt idx="0">
                  <c:v>betonvloer tussenvloeren &lt;-- onderzijde (gespiegelde weergave)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berekening'!$AJ$17</c:f>
              <c:numCache>
                <c:formatCode>0</c:formatCode>
                <c:ptCount val="1"/>
                <c:pt idx="0">
                  <c:v>185.90163934426229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4-4C51-A7C9-FB019AAB020F}"/>
            </c:ext>
          </c:extLst>
        </c:ser>
        <c:ser>
          <c:idx val="2"/>
          <c:order val="2"/>
          <c:tx>
            <c:strRef>
              <c:f>'VOORBEELD Ci berekening'!$AI$18</c:f>
              <c:strCache>
                <c:ptCount val="1"/>
                <c:pt idx="0">
                  <c:v>kalkzandsteenwanden woningscheidend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berekening'!$AJ$18</c:f>
              <c:numCache>
                <c:formatCode>0</c:formatCode>
                <c:ptCount val="1"/>
                <c:pt idx="0">
                  <c:v>169.11885245901638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4-4C51-A7C9-FB019AAB020F}"/>
            </c:ext>
          </c:extLst>
        </c:ser>
        <c:ser>
          <c:idx val="3"/>
          <c:order val="3"/>
          <c:tx>
            <c:strRef>
              <c:f>'VOORBEELD Ci berekening'!$AI$19</c:f>
              <c:strCache>
                <c:ptCount val="1"/>
                <c:pt idx="0">
                  <c:v>kalkzandsteenwanden woningscheidend &lt;-- onderzijde (gespiegelde weergave)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54-4C51-A7C9-FB019AAB020F}"/>
            </c:ext>
          </c:extLst>
        </c:ser>
        <c:ser>
          <c:idx val="4"/>
          <c:order val="4"/>
          <c:tx>
            <c:strRef>
              <c:f>'VOORBEELD Ci berekening'!$AI$20</c:f>
              <c:strCache>
                <c:ptCount val="1"/>
                <c:pt idx="0">
                  <c:v>betonvloer bg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berekening'!$AJ$20</c:f>
              <c:numCache>
                <c:formatCode>0</c:formatCode>
                <c:ptCount val="1"/>
                <c:pt idx="0">
                  <c:v>66.366885245901642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54-4C51-A7C9-FB019AAB020F}"/>
            </c:ext>
          </c:extLst>
        </c:ser>
        <c:ser>
          <c:idx val="5"/>
          <c:order val="5"/>
          <c:tx>
            <c:strRef>
              <c:f>'VOORBEELD Ci berekening'!$AI$21</c:f>
              <c:strCache>
                <c:ptCount val="1"/>
                <c:pt idx="0">
                  <c:v>betonvloer bg &lt;-- onderzijde (gespiegelde weergave)</c:v>
                </c:pt>
              </c:strCache>
            </c:strRef>
          </c:tx>
          <c:spPr>
            <a:solidFill>
              <a:srgbClr val="FFFF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berekening'!$AJ$21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54-4C51-A7C9-FB019AAB020F}"/>
            </c:ext>
          </c:extLst>
        </c:ser>
        <c:ser>
          <c:idx val="6"/>
          <c:order val="6"/>
          <c:tx>
            <c:strRef>
              <c:f>'VOORBEELD Ci berekening'!$AI$22</c:f>
              <c:strCache>
                <c:ptCount val="1"/>
                <c:pt idx="0">
                  <c:v>.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4-4C51-A7C9-FB019AAB020F}"/>
            </c:ext>
          </c:extLst>
        </c:ser>
        <c:ser>
          <c:idx val="7"/>
          <c:order val="7"/>
          <c:tx>
            <c:strRef>
              <c:f>'VOORBEELD Ci berekening'!$AI$23</c:f>
              <c:strCache>
                <c:ptCount val="1"/>
                <c:pt idx="0">
                  <c:v>. &lt;-- onderzijde (gespiegelde weergave)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4-4C51-A7C9-FB019AAB020F}"/>
            </c:ext>
          </c:extLst>
        </c:ser>
        <c:ser>
          <c:idx val="8"/>
          <c:order val="8"/>
          <c:tx>
            <c:strRef>
              <c:f>'VOORBEELD Ci berekening'!$AI$25</c:f>
              <c:strCache>
                <c:ptCount val="1"/>
                <c:pt idx="0">
                  <c:v>.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berekening'!$AJ$25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4-4C51-A7C9-FB019AAB020F}"/>
            </c:ext>
          </c:extLst>
        </c:ser>
        <c:ser>
          <c:idx val="9"/>
          <c:order val="9"/>
          <c:tx>
            <c:strRef>
              <c:f>'VOORBEELD Ci berekening'!$AI$26</c:f>
              <c:strCache>
                <c:ptCount val="1"/>
                <c:pt idx="0">
                  <c:v>. &lt;-- onderzijde (gespiegelde weergave)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berekening'!$AJ$26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54-4C51-A7C9-FB019AAB020F}"/>
            </c:ext>
          </c:extLst>
        </c:ser>
        <c:ser>
          <c:idx val="10"/>
          <c:order val="10"/>
          <c:tx>
            <c:strRef>
              <c:f>'VOORBEELD Ci berekening'!$AI$27</c:f>
              <c:strCache>
                <c:ptCount val="1"/>
                <c:pt idx="0">
                  <c:v>.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54-4C51-A7C9-FB019AAB020F}"/>
            </c:ext>
          </c:extLst>
        </c:ser>
        <c:ser>
          <c:idx val="11"/>
          <c:order val="11"/>
          <c:tx>
            <c:strRef>
              <c:f>'VOORBEELD Ci berekening'!$AI$28</c:f>
              <c:strCache>
                <c:ptCount val="1"/>
                <c:pt idx="0">
                  <c:v>. &lt;-- onderzijde (gespiegelde weergave)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'VOORBEELD Ci berekening'!$AJ$15</c:f>
              <c:strCache>
                <c:ptCount val="1"/>
                <c:pt idx="0">
                  <c:v>122 m2 Ag ;  Ci=550 kJ/m2Ag</c:v>
                </c:pt>
              </c:strCache>
            </c:strRef>
          </c:cat>
          <c:val>
            <c:numRef>
              <c:f>'VOORBEELD Ci berekening'!$AJ$28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54-4C51-A7C9-FB019AAB0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835236960"/>
        <c:axId val="835238928"/>
      </c:barChart>
      <c:catAx>
        <c:axId val="83523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35238928"/>
        <c:crosses val="autoZero"/>
        <c:auto val="1"/>
        <c:lblAlgn val="ctr"/>
        <c:lblOffset val="100"/>
        <c:noMultiLvlLbl val="0"/>
      </c:catAx>
      <c:valAx>
        <c:axId val="83523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1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3523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5893482623675391"/>
          <c:y val="0.18244564578681396"/>
          <c:w val="0.53259058181328744"/>
          <c:h val="0.743479257257022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600" b="1">
                <a:solidFill>
                  <a:schemeClr val="accent6">
                    <a:lumMod val="75000"/>
                  </a:schemeClr>
                </a:solidFill>
              </a:rPr>
              <a:t>Effectieve interne warmtecapaciteit </a:t>
            </a:r>
          </a:p>
          <a:p>
            <a:pPr>
              <a:defRPr sz="1600" b="1">
                <a:solidFill>
                  <a:schemeClr val="accent6">
                    <a:lumMod val="75000"/>
                  </a:schemeClr>
                </a:solidFill>
              </a:defRPr>
            </a:pPr>
            <a:r>
              <a:rPr lang="nl-NL" sz="1600" b="1" baseline="0">
                <a:solidFill>
                  <a:schemeClr val="accent6">
                    <a:lumMod val="75000"/>
                  </a:schemeClr>
                </a:solidFill>
              </a:rPr>
              <a:t>Ci  [kJ/K.</a:t>
            </a:r>
            <a:r>
              <a:rPr lang="nl-NL" sz="1600" b="1" i="0" u="none" strike="noStrike" baseline="0">
                <a:effectLst/>
              </a:rPr>
              <a:t>m</a:t>
            </a:r>
            <a:r>
              <a:rPr lang="nl-NL" sz="1600" b="1" i="0" u="none" strike="noStrike" baseline="30000">
                <a:effectLst/>
              </a:rPr>
              <a:t>2</a:t>
            </a:r>
            <a:r>
              <a:rPr lang="nl-NL" sz="1600" b="1" i="0" u="none" strike="noStrike" baseline="0">
                <a:effectLst/>
              </a:rPr>
              <a:t>Ag] </a:t>
            </a:r>
          </a:p>
          <a:p>
            <a:pPr>
              <a:defRPr sz="1600" b="1">
                <a:solidFill>
                  <a:schemeClr val="accent6">
                    <a:lumMod val="75000"/>
                  </a:schemeClr>
                </a:solidFill>
              </a:defRPr>
            </a:pPr>
            <a:r>
              <a:rPr lang="nl-NL" sz="1600" b="1" i="0" u="none" strike="noStrike" baseline="0">
                <a:effectLst/>
              </a:rPr>
              <a:t>conform </a:t>
            </a:r>
            <a:r>
              <a:rPr lang="nl-NL" sz="1600" b="1" baseline="0">
                <a:solidFill>
                  <a:schemeClr val="accent6">
                    <a:lumMod val="75000"/>
                  </a:schemeClr>
                </a:solidFill>
              </a:rPr>
              <a:t>Bijlage 2 NTA8800</a:t>
            </a:r>
            <a:endParaRPr lang="nl-NL" sz="1600" b="1">
              <a:solidFill>
                <a:schemeClr val="accent6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0181131249910386"/>
          <c:y val="2.239958024547689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3594866319676141"/>
          <c:y val="0.13584577114427859"/>
          <c:w val="0.32072223559044577"/>
          <c:h val="0.782216084929682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'Ci Rekentool'!$AI$16</c:f>
              <c:strCache>
                <c:ptCount val="1"/>
                <c:pt idx="0">
                  <c:v>naam constructie 1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Rekentool'!$AJ$16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C-4BF0-8C82-C9022D15AC8B}"/>
            </c:ext>
          </c:extLst>
        </c:ser>
        <c:ser>
          <c:idx val="1"/>
          <c:order val="1"/>
          <c:tx>
            <c:strRef>
              <c:f>'Ci Rekentool'!$AI$17</c:f>
              <c:strCache>
                <c:ptCount val="1"/>
                <c:pt idx="0">
                  <c:v>naam constructie 1 &lt;-- onderzijde (gespiegelde weergave)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Rekentool'!$AJ$17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C-4BF0-8C82-C9022D15AC8B}"/>
            </c:ext>
          </c:extLst>
        </c:ser>
        <c:ser>
          <c:idx val="2"/>
          <c:order val="2"/>
          <c:tx>
            <c:strRef>
              <c:f>'Ci Rekentool'!$AI$18</c:f>
              <c:strCache>
                <c:ptCount val="1"/>
                <c:pt idx="0">
                  <c:v>naam constructie 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Rekentool'!$AJ$18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AC-4BF0-8C82-C9022D15AC8B}"/>
            </c:ext>
          </c:extLst>
        </c:ser>
        <c:ser>
          <c:idx val="3"/>
          <c:order val="3"/>
          <c:tx>
            <c:strRef>
              <c:f>'Ci Rekentool'!$AI$19</c:f>
              <c:strCache>
                <c:ptCount val="1"/>
                <c:pt idx="0">
                  <c:v>naam constructie 2 &lt;-- onderzijde (gespiegelde weergave)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AC-4BF0-8C82-C9022D15AC8B}"/>
            </c:ext>
          </c:extLst>
        </c:ser>
        <c:ser>
          <c:idx val="4"/>
          <c:order val="4"/>
          <c:tx>
            <c:strRef>
              <c:f>'Ci Rekentool'!$AI$20</c:f>
              <c:strCache>
                <c:ptCount val="1"/>
                <c:pt idx="0">
                  <c:v>naam constructie 3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AC-4BF0-8C82-C9022D15AC8B}"/>
            </c:ext>
          </c:extLst>
        </c:ser>
        <c:ser>
          <c:idx val="5"/>
          <c:order val="5"/>
          <c:tx>
            <c:strRef>
              <c:f>'Ci Rekentool'!$AI$21</c:f>
              <c:strCache>
                <c:ptCount val="1"/>
                <c:pt idx="0">
                  <c:v>naam constructie 3 &lt;-- onderzijde (gespiegelde weergave)</c:v>
                </c:pt>
              </c:strCache>
            </c:strRef>
          </c:tx>
          <c:spPr>
            <a:solidFill>
              <a:srgbClr val="FFFF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Rekentool'!$AJ$21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AC-4BF0-8C82-C9022D15AC8B}"/>
            </c:ext>
          </c:extLst>
        </c:ser>
        <c:ser>
          <c:idx val="6"/>
          <c:order val="6"/>
          <c:tx>
            <c:strRef>
              <c:f>'Ci Rekentool'!$AI$22</c:f>
              <c:strCache>
                <c:ptCount val="1"/>
                <c:pt idx="0">
                  <c:v>naam constructie 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AC-4BF0-8C82-C9022D15AC8B}"/>
            </c:ext>
          </c:extLst>
        </c:ser>
        <c:ser>
          <c:idx val="7"/>
          <c:order val="7"/>
          <c:tx>
            <c:strRef>
              <c:f>'Ci Rekentool'!$AI$23</c:f>
              <c:strCache>
                <c:ptCount val="1"/>
                <c:pt idx="0">
                  <c:v>naam constructie 4 &lt;-- onderzijde (gespiegelde weergave)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AC-4BF0-8C82-C9022D15AC8B}"/>
            </c:ext>
          </c:extLst>
        </c:ser>
        <c:ser>
          <c:idx val="8"/>
          <c:order val="8"/>
          <c:tx>
            <c:strRef>
              <c:f>'Ci Rekentool'!$AI$25</c:f>
              <c:strCache>
                <c:ptCount val="1"/>
                <c:pt idx="0">
                  <c:v>naam constructie 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Rekentool'!$AJ$25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AC-4BF0-8C82-C9022D15AC8B}"/>
            </c:ext>
          </c:extLst>
        </c:ser>
        <c:ser>
          <c:idx val="9"/>
          <c:order val="9"/>
          <c:tx>
            <c:strRef>
              <c:f>'Ci Rekentool'!$AI$26</c:f>
              <c:strCache>
                <c:ptCount val="1"/>
                <c:pt idx="0">
                  <c:v>naam constructie 5 &lt;-- onderzijde (gespiegelde weergave)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Rekentool'!$AJ$26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AC-4BF0-8C82-C9022D15AC8B}"/>
            </c:ext>
          </c:extLst>
        </c:ser>
        <c:ser>
          <c:idx val="10"/>
          <c:order val="10"/>
          <c:tx>
            <c:strRef>
              <c:f>'Ci Rekentool'!$AI$27</c:f>
              <c:strCache>
                <c:ptCount val="1"/>
                <c:pt idx="0">
                  <c:v>naam constructie 6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AC-4BF0-8C82-C9022D15AC8B}"/>
            </c:ext>
          </c:extLst>
        </c:ser>
        <c:ser>
          <c:idx val="11"/>
          <c:order val="11"/>
          <c:tx>
            <c:strRef>
              <c:f>'Ci Rekentool'!$AI$28</c:f>
              <c:strCache>
                <c:ptCount val="1"/>
                <c:pt idx="0">
                  <c:v>naam constructie 6 &lt;-- onderzijde (gespiegelde weergave)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 Rekentool'!$AJ$15</c:f>
              <c:strCache>
                <c:ptCount val="1"/>
                <c:pt idx="0">
                  <c:v>0,001 m2 Ag ;  Ci=0 kJ/m2Ag</c:v>
                </c:pt>
              </c:strCache>
            </c:strRef>
          </c:cat>
          <c:val>
            <c:numRef>
              <c:f>'Ci Rekentool'!$AJ$28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AC-4BF0-8C82-C9022D15A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835236960"/>
        <c:axId val="835238928"/>
      </c:barChart>
      <c:catAx>
        <c:axId val="83523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35238928"/>
        <c:crosses val="autoZero"/>
        <c:auto val="1"/>
        <c:lblAlgn val="ctr"/>
        <c:lblOffset val="100"/>
        <c:noMultiLvlLbl val="0"/>
      </c:catAx>
      <c:valAx>
        <c:axId val="83523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1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3523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5893482623675391"/>
          <c:y val="0.18244564578681396"/>
          <c:w val="0.53259058181328744"/>
          <c:h val="0.743479257257022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57</xdr:col>
      <xdr:colOff>99060</xdr:colOff>
      <xdr:row>92</xdr:row>
      <xdr:rowOff>15240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BE28AF3-A7E5-4FC5-B6A4-B40806267DCA}"/>
            </a:ext>
          </a:extLst>
        </xdr:cNvPr>
        <xdr:cNvSpPr/>
      </xdr:nvSpPr>
      <xdr:spPr>
        <a:xfrm>
          <a:off x="0" y="0"/>
          <a:ext cx="34846260" cy="16840200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asdasdssdfsdfsdfsdfsd</a:t>
          </a:r>
        </a:p>
      </xdr:txBody>
    </xdr:sp>
    <xdr:clientData/>
  </xdr:twoCellAnchor>
  <xdr:twoCellAnchor editAs="oneCell">
    <xdr:from>
      <xdr:col>12</xdr:col>
      <xdr:colOff>38099</xdr:colOff>
      <xdr:row>0</xdr:row>
      <xdr:rowOff>121920</xdr:rowOff>
    </xdr:from>
    <xdr:to>
      <xdr:col>13</xdr:col>
      <xdr:colOff>577012</xdr:colOff>
      <xdr:row>2</xdr:row>
      <xdr:rowOff>160020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712D99F-E28D-4D97-B62F-52129DF53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299" y="121920"/>
          <a:ext cx="1148513" cy="4038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66303</xdr:colOff>
      <xdr:row>5</xdr:row>
      <xdr:rowOff>124690</xdr:rowOff>
    </xdr:from>
    <xdr:to>
      <xdr:col>44</xdr:col>
      <xdr:colOff>443343</xdr:colOff>
      <xdr:row>41</xdr:row>
      <xdr:rowOff>47500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9E4CC299-C3B8-407C-B93B-86A2E36ACE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45</xdr:col>
      <xdr:colOff>665018</xdr:colOff>
      <xdr:row>114</xdr:row>
      <xdr:rowOff>55419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66921DE5-63A7-4917-8DD9-7CADE26026AC}"/>
            </a:ext>
          </a:extLst>
        </xdr:cNvPr>
        <xdr:cNvSpPr/>
      </xdr:nvSpPr>
      <xdr:spPr>
        <a:xfrm>
          <a:off x="0" y="0"/>
          <a:ext cx="26060400" cy="21682364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39</xdr:col>
      <xdr:colOff>55419</xdr:colOff>
      <xdr:row>6</xdr:row>
      <xdr:rowOff>27709</xdr:rowOff>
    </xdr:from>
    <xdr:to>
      <xdr:col>42</xdr:col>
      <xdr:colOff>89697</xdr:colOff>
      <xdr:row>7</xdr:row>
      <xdr:rowOff>775854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9845FBE0-7B77-44B0-B47E-E3CF2041E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2546" y="1662545"/>
          <a:ext cx="2403406" cy="8451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66303</xdr:colOff>
      <xdr:row>5</xdr:row>
      <xdr:rowOff>124690</xdr:rowOff>
    </xdr:from>
    <xdr:to>
      <xdr:col>44</xdr:col>
      <xdr:colOff>443343</xdr:colOff>
      <xdr:row>41</xdr:row>
      <xdr:rowOff>47500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E5AC6174-57CF-421B-B43F-14B3848E0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419100</xdr:colOff>
      <xdr:row>6</xdr:row>
      <xdr:rowOff>45027</xdr:rowOff>
    </xdr:from>
    <xdr:to>
      <xdr:col>43</xdr:col>
      <xdr:colOff>762000</xdr:colOff>
      <xdr:row>40</xdr:row>
      <xdr:rowOff>57151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5241405C-1868-4054-BEE0-44474E1B9105}"/>
            </a:ext>
          </a:extLst>
        </xdr:cNvPr>
        <xdr:cNvSpPr/>
      </xdr:nvSpPr>
      <xdr:spPr>
        <a:xfrm>
          <a:off x="20897850" y="1683327"/>
          <a:ext cx="7219950" cy="7003474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318655</xdr:colOff>
      <xdr:row>155</xdr:row>
      <xdr:rowOff>27708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DCF0BF82-3BC4-42FE-B5C8-1AAD9BD27C42}"/>
            </a:ext>
          </a:extLst>
        </xdr:cNvPr>
        <xdr:cNvSpPr/>
      </xdr:nvSpPr>
      <xdr:spPr>
        <a:xfrm>
          <a:off x="0" y="0"/>
          <a:ext cx="4461164" cy="29039126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19</xdr:col>
      <xdr:colOff>96981</xdr:colOff>
      <xdr:row>0</xdr:row>
      <xdr:rowOff>27709</xdr:rowOff>
    </xdr:from>
    <xdr:to>
      <xdr:col>24</xdr:col>
      <xdr:colOff>969817</xdr:colOff>
      <xdr:row>107</xdr:row>
      <xdr:rowOff>152399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EFF5D3E0-0C9C-44AF-8840-0D735FA6F158}"/>
            </a:ext>
          </a:extLst>
        </xdr:cNvPr>
        <xdr:cNvSpPr/>
      </xdr:nvSpPr>
      <xdr:spPr>
        <a:xfrm>
          <a:off x="11665526" y="27709"/>
          <a:ext cx="4461164" cy="20490872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13</xdr:col>
      <xdr:colOff>1003759</xdr:colOff>
      <xdr:row>0</xdr:row>
      <xdr:rowOff>0</xdr:rowOff>
    </xdr:from>
    <xdr:to>
      <xdr:col>19</xdr:col>
      <xdr:colOff>38097</xdr:colOff>
      <xdr:row>107</xdr:row>
      <xdr:rowOff>124690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599E8AB-4FC5-4D95-A506-DFE4D0533895}"/>
            </a:ext>
          </a:extLst>
        </xdr:cNvPr>
        <xdr:cNvSpPr/>
      </xdr:nvSpPr>
      <xdr:spPr>
        <a:xfrm>
          <a:off x="11560923" y="0"/>
          <a:ext cx="45719" cy="20490872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</xdr:colOff>
      <xdr:row>1</xdr:row>
      <xdr:rowOff>415635</xdr:rowOff>
    </xdr:from>
    <xdr:to>
      <xdr:col>28</xdr:col>
      <xdr:colOff>19050</xdr:colOff>
      <xdr:row>9</xdr:row>
      <xdr:rowOff>0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22E7FD28-A967-4A6E-B7ED-02404FEB090A}"/>
            </a:ext>
          </a:extLst>
        </xdr:cNvPr>
        <xdr:cNvSpPr/>
      </xdr:nvSpPr>
      <xdr:spPr>
        <a:xfrm>
          <a:off x="9601200" y="853785"/>
          <a:ext cx="9391650" cy="1870365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83128</xdr:colOff>
      <xdr:row>6</xdr:row>
      <xdr:rowOff>41563</xdr:rowOff>
    </xdr:from>
    <xdr:to>
      <xdr:col>11</xdr:col>
      <xdr:colOff>914400</xdr:colOff>
      <xdr:row>155</xdr:row>
      <xdr:rowOff>41562</xdr:rowOff>
    </xdr:to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16DE84F5-35A9-4D76-94CE-52EB4073624D}"/>
            </a:ext>
          </a:extLst>
        </xdr:cNvPr>
        <xdr:cNvSpPr/>
      </xdr:nvSpPr>
      <xdr:spPr>
        <a:xfrm>
          <a:off x="6719455" y="1676399"/>
          <a:ext cx="2770909" cy="27376581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39</xdr:col>
      <xdr:colOff>166255</xdr:colOff>
      <xdr:row>6</xdr:row>
      <xdr:rowOff>55419</xdr:rowOff>
    </xdr:from>
    <xdr:to>
      <xdr:col>42</xdr:col>
      <xdr:colOff>364043</xdr:colOff>
      <xdr:row>8</xdr:row>
      <xdr:rowOff>71351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7EFA8CCA-FE35-4874-AEE6-A54F90D7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1710" y="1690255"/>
          <a:ext cx="2566915" cy="902623"/>
        </a:xfrm>
        <a:prstGeom prst="rect">
          <a:avLst/>
        </a:prstGeom>
      </xdr:spPr>
    </xdr:pic>
    <xdr:clientData/>
  </xdr:twoCellAnchor>
  <xdr:twoCellAnchor>
    <xdr:from>
      <xdr:col>8</xdr:col>
      <xdr:colOff>41564</xdr:colOff>
      <xdr:row>10</xdr:row>
      <xdr:rowOff>41565</xdr:rowOff>
    </xdr:from>
    <xdr:to>
      <xdr:col>11</xdr:col>
      <xdr:colOff>928254</xdr:colOff>
      <xdr:row>21</xdr:row>
      <xdr:rowOff>166255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3D2AE92D-62D0-48FC-809E-F2951D02F01F}"/>
            </a:ext>
          </a:extLst>
        </xdr:cNvPr>
        <xdr:cNvSpPr/>
      </xdr:nvSpPr>
      <xdr:spPr>
        <a:xfrm>
          <a:off x="5029200" y="2937165"/>
          <a:ext cx="4475018" cy="2105890"/>
        </a:xfrm>
        <a:prstGeom prst="rect">
          <a:avLst/>
        </a:prstGeom>
        <a:solidFill>
          <a:srgbClr val="FCF6F6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19</xdr:col>
      <xdr:colOff>95250</xdr:colOff>
      <xdr:row>0</xdr:row>
      <xdr:rowOff>235526</xdr:rowOff>
    </xdr:from>
    <xdr:to>
      <xdr:col>29</xdr:col>
      <xdr:colOff>571500</xdr:colOff>
      <xdr:row>98</xdr:row>
      <xdr:rowOff>95250</xdr:rowOff>
    </xdr:to>
    <xdr:sp macro="" textlink="">
      <xdr:nvSpPr>
        <xdr:cNvPr id="15" name="Rechthoek 14">
          <a:extLst>
            <a:ext uri="{FF2B5EF4-FFF2-40B4-BE49-F238E27FC236}">
              <a16:creationId xmlns:a16="http://schemas.microsoft.com/office/drawing/2014/main" id="{B2D57D42-A33D-4C60-AD03-2043ADECBBCE}"/>
            </a:ext>
          </a:extLst>
        </xdr:cNvPr>
        <xdr:cNvSpPr/>
      </xdr:nvSpPr>
      <xdr:spPr>
        <a:xfrm>
          <a:off x="11677650" y="235526"/>
          <a:ext cx="7962900" cy="19538374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8</xdr:col>
      <xdr:colOff>41563</xdr:colOff>
      <xdr:row>25</xdr:row>
      <xdr:rowOff>27712</xdr:rowOff>
    </xdr:from>
    <xdr:to>
      <xdr:col>11</xdr:col>
      <xdr:colOff>928253</xdr:colOff>
      <xdr:row>36</xdr:row>
      <xdr:rowOff>152402</xdr:rowOff>
    </xdr:to>
    <xdr:sp macro="" textlink="">
      <xdr:nvSpPr>
        <xdr:cNvPr id="13" name="Rechthoek 12">
          <a:extLst>
            <a:ext uri="{FF2B5EF4-FFF2-40B4-BE49-F238E27FC236}">
              <a16:creationId xmlns:a16="http://schemas.microsoft.com/office/drawing/2014/main" id="{0CC1C66A-7BAD-4BB8-9A9B-36C1FF9319CC}"/>
            </a:ext>
          </a:extLst>
        </xdr:cNvPr>
        <xdr:cNvSpPr/>
      </xdr:nvSpPr>
      <xdr:spPr>
        <a:xfrm>
          <a:off x="5029199" y="5624948"/>
          <a:ext cx="4475018" cy="2105890"/>
        </a:xfrm>
        <a:prstGeom prst="rect">
          <a:avLst/>
        </a:prstGeom>
        <a:solidFill>
          <a:srgbClr val="FCF6F6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41563</xdr:colOff>
      <xdr:row>40</xdr:row>
      <xdr:rowOff>41566</xdr:rowOff>
    </xdr:from>
    <xdr:to>
      <xdr:col>11</xdr:col>
      <xdr:colOff>928253</xdr:colOff>
      <xdr:row>51</xdr:row>
      <xdr:rowOff>166256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6DB658C9-B6D3-4C5D-9948-3DB4AEB8F839}"/>
            </a:ext>
          </a:extLst>
        </xdr:cNvPr>
        <xdr:cNvSpPr/>
      </xdr:nvSpPr>
      <xdr:spPr>
        <a:xfrm>
          <a:off x="5029199" y="8340439"/>
          <a:ext cx="4475018" cy="2105890"/>
        </a:xfrm>
        <a:prstGeom prst="rect">
          <a:avLst/>
        </a:prstGeom>
        <a:solidFill>
          <a:srgbClr val="FCF6F6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55418</xdr:colOff>
      <xdr:row>55</xdr:row>
      <xdr:rowOff>27709</xdr:rowOff>
    </xdr:from>
    <xdr:to>
      <xdr:col>11</xdr:col>
      <xdr:colOff>942108</xdr:colOff>
      <xdr:row>66</xdr:row>
      <xdr:rowOff>152399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85DF6809-111A-48B1-AC81-CA9EB10E5C75}"/>
            </a:ext>
          </a:extLst>
        </xdr:cNvPr>
        <xdr:cNvSpPr/>
      </xdr:nvSpPr>
      <xdr:spPr>
        <a:xfrm>
          <a:off x="5043054" y="11028218"/>
          <a:ext cx="4475018" cy="2105890"/>
        </a:xfrm>
        <a:prstGeom prst="rect">
          <a:avLst/>
        </a:prstGeom>
        <a:solidFill>
          <a:srgbClr val="FCF6F6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55418</xdr:colOff>
      <xdr:row>70</xdr:row>
      <xdr:rowOff>27709</xdr:rowOff>
    </xdr:from>
    <xdr:to>
      <xdr:col>11</xdr:col>
      <xdr:colOff>942108</xdr:colOff>
      <xdr:row>81</xdr:row>
      <xdr:rowOff>152399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3A5BD1E9-408B-42CD-863E-78B27E28B175}"/>
            </a:ext>
          </a:extLst>
        </xdr:cNvPr>
        <xdr:cNvSpPr/>
      </xdr:nvSpPr>
      <xdr:spPr>
        <a:xfrm>
          <a:off x="5043054" y="13729854"/>
          <a:ext cx="4475018" cy="2105890"/>
        </a:xfrm>
        <a:prstGeom prst="rect">
          <a:avLst/>
        </a:prstGeom>
        <a:solidFill>
          <a:srgbClr val="FCF6F6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41563</xdr:colOff>
      <xdr:row>85</xdr:row>
      <xdr:rowOff>41563</xdr:rowOff>
    </xdr:from>
    <xdr:to>
      <xdr:col>11</xdr:col>
      <xdr:colOff>928253</xdr:colOff>
      <xdr:row>96</xdr:row>
      <xdr:rowOff>166253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1E3B68F9-D10C-46A4-BF6B-FC6C8DC60509}"/>
            </a:ext>
          </a:extLst>
        </xdr:cNvPr>
        <xdr:cNvSpPr/>
      </xdr:nvSpPr>
      <xdr:spPr>
        <a:xfrm>
          <a:off x="5029199" y="16445345"/>
          <a:ext cx="4475018" cy="2105890"/>
        </a:xfrm>
        <a:prstGeom prst="rect">
          <a:avLst/>
        </a:prstGeom>
        <a:solidFill>
          <a:srgbClr val="FCF6F6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129540</xdr:colOff>
      <xdr:row>1</xdr:row>
      <xdr:rowOff>15240</xdr:rowOff>
    </xdr:from>
    <xdr:to>
      <xdr:col>4</xdr:col>
      <xdr:colOff>1413357</xdr:colOff>
      <xdr:row>1</xdr:row>
      <xdr:rowOff>967740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D284FB6-24D6-4758-85D9-826759DB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1440" y="198120"/>
          <a:ext cx="2708757" cy="952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475581</xdr:colOff>
      <xdr:row>37</xdr:row>
      <xdr:rowOff>130606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49943B8-30CC-48C3-AFCE-C0E664334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2880"/>
          <a:ext cx="5352381" cy="67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515425</xdr:colOff>
      <xdr:row>46</xdr:row>
      <xdr:rowOff>144780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89847B-BBE0-4839-AACC-437370A7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82880"/>
          <a:ext cx="5392225" cy="837438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28</xdr:col>
      <xdr:colOff>561219</xdr:colOff>
      <xdr:row>27</xdr:row>
      <xdr:rowOff>140358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57DA720-2237-48E9-964F-2BE20E9EE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82880"/>
          <a:ext cx="6047619" cy="4895238"/>
        </a:xfrm>
        <a:prstGeom prst="rect">
          <a:avLst/>
        </a:prstGeom>
      </xdr:spPr>
    </xdr:pic>
    <xdr:clientData/>
  </xdr:twoCellAnchor>
  <xdr:twoCellAnchor>
    <xdr:from>
      <xdr:col>0</xdr:col>
      <xdr:colOff>22860</xdr:colOff>
      <xdr:row>0</xdr:row>
      <xdr:rowOff>22860</xdr:rowOff>
    </xdr:from>
    <xdr:to>
      <xdr:col>40</xdr:col>
      <xdr:colOff>571500</xdr:colOff>
      <xdr:row>69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517F3E86-1FF3-4D95-9F66-8A2B07CF90E2}"/>
            </a:ext>
          </a:extLst>
        </xdr:cNvPr>
        <xdr:cNvSpPr/>
      </xdr:nvSpPr>
      <xdr:spPr>
        <a:xfrm>
          <a:off x="22860" y="22860"/>
          <a:ext cx="24932640" cy="13121640"/>
        </a:xfrm>
        <a:prstGeom prst="rect">
          <a:avLst/>
        </a:prstGeom>
        <a:solidFill>
          <a:srgbClr val="FFFFFF">
            <a:alpha val="117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17A84-8E6D-4BEF-8135-1D492FEE73D0}">
  <sheetPr>
    <tabColor theme="9" tint="-0.249977111117893"/>
  </sheetPr>
  <dimension ref="B2:N28"/>
  <sheetViews>
    <sheetView showGridLines="0" showRowColHeaders="0" tabSelected="1" zoomScaleNormal="100" workbookViewId="0"/>
  </sheetViews>
  <sheetFormatPr defaultColWidth="8.85546875" defaultRowHeight="15" x14ac:dyDescent="0.25"/>
  <cols>
    <col min="1" max="16384" width="8.85546875" style="97"/>
  </cols>
  <sheetData>
    <row r="2" spans="2:14" x14ac:dyDescent="0.25">
      <c r="B2" s="118" t="s">
        <v>169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</row>
    <row r="4" spans="2:14" x14ac:dyDescent="0.25">
      <c r="B4" s="97" t="s">
        <v>170</v>
      </c>
    </row>
    <row r="6" spans="2:14" x14ac:dyDescent="0.25">
      <c r="B6" s="21" t="s">
        <v>178</v>
      </c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8" spans="2:14" x14ac:dyDescent="0.25">
      <c r="B8" s="21" t="s">
        <v>183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2:14" x14ac:dyDescent="0.25">
      <c r="B9" s="120" t="s">
        <v>171</v>
      </c>
      <c r="C9" s="121" t="s">
        <v>184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</row>
    <row r="10" spans="2:14" x14ac:dyDescent="0.25">
      <c r="B10" s="120" t="s">
        <v>172</v>
      </c>
      <c r="C10" s="121" t="s">
        <v>173</v>
      </c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</row>
    <row r="11" spans="2:14" x14ac:dyDescent="0.25">
      <c r="B11" s="122"/>
      <c r="C11" s="97" t="s">
        <v>182</v>
      </c>
    </row>
    <row r="12" spans="2:14" x14ac:dyDescent="0.25">
      <c r="B12" s="122"/>
      <c r="C12" s="97" t="s">
        <v>203</v>
      </c>
    </row>
    <row r="13" spans="2:14" x14ac:dyDescent="0.25">
      <c r="B13" s="120" t="s">
        <v>185</v>
      </c>
      <c r="C13" s="123" t="s">
        <v>202</v>
      </c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</row>
    <row r="14" spans="2:14" x14ac:dyDescent="0.25">
      <c r="C14" s="97" t="s">
        <v>204</v>
      </c>
    </row>
    <row r="15" spans="2:14" x14ac:dyDescent="0.25">
      <c r="C15" s="97" t="s">
        <v>205</v>
      </c>
    </row>
    <row r="16" spans="2:14" x14ac:dyDescent="0.25">
      <c r="B16" s="21" t="s">
        <v>174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</row>
    <row r="18" spans="2:14" x14ac:dyDescent="0.25">
      <c r="B18" s="21" t="s">
        <v>179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</row>
    <row r="19" spans="2:14" x14ac:dyDescent="0.25">
      <c r="C19" s="97" t="s">
        <v>206</v>
      </c>
    </row>
    <row r="20" spans="2:14" x14ac:dyDescent="0.25">
      <c r="B20" s="21" t="s">
        <v>181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</row>
    <row r="22" spans="2:14" x14ac:dyDescent="0.25">
      <c r="B22" s="21" t="s">
        <v>180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</row>
    <row r="24" spans="2:14" x14ac:dyDescent="0.25">
      <c r="B24" s="149" t="s">
        <v>210</v>
      </c>
    </row>
    <row r="26" spans="2:14" x14ac:dyDescent="0.25">
      <c r="B26" s="97" t="s">
        <v>186</v>
      </c>
    </row>
    <row r="27" spans="2:14" x14ac:dyDescent="0.25">
      <c r="B27" s="124" t="s">
        <v>187</v>
      </c>
    </row>
    <row r="28" spans="2:14" x14ac:dyDescent="0.25">
      <c r="B28" s="124" t="s">
        <v>211</v>
      </c>
    </row>
  </sheetData>
  <sheetProtection algorithmName="SHA-512" hashValue="rdHIWFQneMtOFXmtPZ5B2pTaLHfOKJa0e31WnEARz6n78RQ0N7iueyuUi/FomKYEw+DlkbzWfNzktqL0KlTLyw==" saltValue="Tc3/r2MTLxq2KfpwPf1FG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8E8F8-849F-46E6-8447-79B014AC5926}">
  <sheetPr>
    <tabColor theme="9" tint="-0.249977111117893"/>
  </sheetPr>
  <dimension ref="A1:AP102"/>
  <sheetViews>
    <sheetView showGridLines="0" showRowColHeaders="0" zoomScale="85" zoomScaleNormal="85" workbookViewId="0">
      <selection activeCell="AV3" sqref="AV3"/>
    </sheetView>
  </sheetViews>
  <sheetFormatPr defaultColWidth="11.42578125" defaultRowHeight="15" x14ac:dyDescent="0.25"/>
  <cols>
    <col min="1" max="1" width="5.42578125" style="1" customWidth="1"/>
    <col min="2" max="2" width="28.42578125" style="1" customWidth="1"/>
    <col min="3" max="3" width="17.7109375" style="1" customWidth="1"/>
    <col min="4" max="4" width="3.7109375" style="1" customWidth="1"/>
    <col min="5" max="6" width="5.140625" style="1" customWidth="1"/>
    <col min="7" max="7" width="1.42578125" style="1" customWidth="1"/>
    <col min="8" max="8" width="5.85546875" style="1" customWidth="1"/>
    <col min="9" max="9" width="24.140625" style="1" customWidth="1"/>
    <col min="10" max="12" width="14.140625" style="1" customWidth="1"/>
    <col min="13" max="14" width="14.7109375" style="1" customWidth="1"/>
    <col min="15" max="19" width="14.7109375" style="1" hidden="1" customWidth="1"/>
    <col min="20" max="23" width="18.7109375" style="1" hidden="1" customWidth="1"/>
    <col min="24" max="24" width="14.7109375" style="1" hidden="1" customWidth="1"/>
    <col min="25" max="27" width="14.7109375" style="1" customWidth="1"/>
    <col min="28" max="28" width="11" style="1" customWidth="1"/>
    <col min="29" max="29" width="1.42578125" style="1" customWidth="1"/>
    <col min="30" max="30" width="12.85546875" style="1" customWidth="1"/>
    <col min="31" max="32" width="7.7109375" style="1" customWidth="1"/>
    <col min="33" max="37" width="4.7109375" style="1" customWidth="1"/>
    <col min="38" max="38" width="11.85546875" style="1" customWidth="1"/>
    <col min="39" max="16384" width="11.42578125" style="1"/>
  </cols>
  <sheetData>
    <row r="1" spans="1:42" ht="37.5" x14ac:dyDescent="0.7">
      <c r="A1" s="78" t="s">
        <v>193</v>
      </c>
      <c r="B1" s="78"/>
      <c r="C1" s="80"/>
      <c r="D1" s="4"/>
      <c r="E1" s="4"/>
      <c r="F1" s="4"/>
      <c r="G1" s="4"/>
      <c r="H1" s="4" t="s">
        <v>208</v>
      </c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42" s="14" customFormat="1" ht="36.6" customHeight="1" x14ac:dyDescent="0.7">
      <c r="A2" s="78" t="s">
        <v>192</v>
      </c>
      <c r="B2" s="92"/>
      <c r="C2" s="80"/>
      <c r="D2" s="4"/>
      <c r="E2" s="4"/>
      <c r="F2" s="4"/>
      <c r="G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F2" s="131"/>
      <c r="AG2" s="14" t="s">
        <v>111</v>
      </c>
    </row>
    <row r="3" spans="1:42" x14ac:dyDescent="0.25">
      <c r="C3" s="81"/>
      <c r="D3" s="23"/>
      <c r="E3" s="23"/>
      <c r="F3" s="23"/>
      <c r="G3" s="23"/>
      <c r="H3" s="18"/>
      <c r="I3" s="18"/>
      <c r="J3" s="18"/>
      <c r="K3" s="18"/>
      <c r="L3" s="30" t="s">
        <v>99</v>
      </c>
      <c r="M3" s="30"/>
      <c r="N3" s="30" t="s">
        <v>105</v>
      </c>
      <c r="O3" s="30"/>
      <c r="P3" s="30"/>
      <c r="Q3" s="30"/>
      <c r="R3" s="30"/>
      <c r="S3" s="30"/>
      <c r="T3" s="30" t="s">
        <v>113</v>
      </c>
      <c r="U3" s="30"/>
      <c r="V3" s="30"/>
      <c r="W3" s="30"/>
      <c r="X3" s="30"/>
      <c r="Y3" s="30"/>
      <c r="Z3" s="30" t="s">
        <v>100</v>
      </c>
      <c r="AA3" s="30" t="s">
        <v>101</v>
      </c>
      <c r="AB3" s="30" t="s">
        <v>93</v>
      </c>
      <c r="AC3" s="15"/>
      <c r="AD3" s="23"/>
    </row>
    <row r="4" spans="1:42" x14ac:dyDescent="0.25">
      <c r="C4" s="81"/>
      <c r="D4" s="23"/>
      <c r="E4" s="23"/>
      <c r="F4" s="23"/>
      <c r="G4" s="23"/>
      <c r="H4" s="18"/>
      <c r="I4" s="18"/>
      <c r="J4" s="18"/>
      <c r="K4" s="18"/>
      <c r="L4" s="30" t="s">
        <v>84</v>
      </c>
      <c r="M4" s="30"/>
      <c r="N4" s="30" t="s">
        <v>84</v>
      </c>
      <c r="O4" s="30"/>
      <c r="P4" s="30"/>
      <c r="Q4" s="30"/>
      <c r="R4" s="30"/>
      <c r="S4" s="30"/>
      <c r="T4" s="30" t="s">
        <v>112</v>
      </c>
      <c r="U4" s="30"/>
      <c r="V4" s="30"/>
      <c r="W4" s="30"/>
      <c r="X4" s="30"/>
      <c r="Y4" s="30"/>
      <c r="Z4" s="30" t="s">
        <v>102</v>
      </c>
      <c r="AA4" s="30" t="s">
        <v>104</v>
      </c>
      <c r="AB4" s="30" t="s">
        <v>103</v>
      </c>
      <c r="AC4" s="15"/>
      <c r="AD4" s="23"/>
    </row>
    <row r="5" spans="1:42" ht="18.75" x14ac:dyDescent="0.3">
      <c r="C5" s="82"/>
      <c r="D5" s="24"/>
      <c r="E5" s="24"/>
      <c r="F5" s="24"/>
      <c r="G5" s="24"/>
      <c r="H5" s="152" t="s">
        <v>89</v>
      </c>
      <c r="I5" s="152"/>
      <c r="J5" s="19"/>
      <c r="K5" s="20"/>
      <c r="L5" s="74">
        <v>122</v>
      </c>
      <c r="M5" s="75" t="str">
        <f>IF(AB5&gt;180,"BENG1 basiseis","BENG1-eis licht")</f>
        <v>BENG1 basiseis</v>
      </c>
      <c r="N5" s="16">
        <f>N16+N23+N31+N38+N46+N53+N61+N68+N76+N83+N91+N98</f>
        <v>395</v>
      </c>
      <c r="O5" s="16"/>
      <c r="P5" s="16"/>
      <c r="Q5" s="16"/>
      <c r="R5" s="16"/>
      <c r="S5" s="16"/>
      <c r="T5" s="31">
        <f>1000*Z5/(L5*2400*840)</f>
        <v>0.27282947892271658</v>
      </c>
      <c r="U5" s="31"/>
      <c r="V5" s="31"/>
      <c r="W5" s="31"/>
      <c r="X5" s="16"/>
      <c r="Y5" s="16"/>
      <c r="Z5" s="72">
        <f>Z16+Z23+Z31+Z38+Z46+Z53+Z61+Z68+Z76+Z83+Z91+Z98</f>
        <v>67102.955999999991</v>
      </c>
      <c r="AA5" s="17">
        <f>Z5/N5</f>
        <v>169.88090126582276</v>
      </c>
      <c r="AB5" s="72">
        <f>Z5/L5</f>
        <v>550.02422950819664</v>
      </c>
      <c r="AC5" s="16"/>
      <c r="AD5" s="24"/>
    </row>
    <row r="6" spans="1:42" ht="10.5" customHeight="1" x14ac:dyDescent="0.25">
      <c r="D6" s="21"/>
      <c r="E6" s="21"/>
      <c r="F6" s="21"/>
      <c r="G6" s="21"/>
      <c r="H6" s="21"/>
      <c r="I6" s="21"/>
      <c r="J6" s="21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1"/>
      <c r="AC6" s="21"/>
      <c r="AD6" s="21"/>
    </row>
    <row r="7" spans="1:42" ht="7.5" customHeight="1" x14ac:dyDescent="0.25">
      <c r="D7" s="21"/>
      <c r="E7" s="21"/>
      <c r="F7" s="21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4"/>
      <c r="AC7" s="60"/>
      <c r="AD7" s="21"/>
    </row>
    <row r="8" spans="1:42" ht="63" x14ac:dyDescent="0.25">
      <c r="A8" s="79" t="s">
        <v>157</v>
      </c>
      <c r="B8" s="73"/>
      <c r="D8" s="21"/>
      <c r="E8" s="21"/>
      <c r="F8" s="21"/>
      <c r="H8" s="6"/>
      <c r="I8" s="65" t="s">
        <v>158</v>
      </c>
      <c r="J8" s="32" t="s">
        <v>85</v>
      </c>
      <c r="K8" s="33" t="s">
        <v>86</v>
      </c>
      <c r="L8" s="33" t="s">
        <v>98</v>
      </c>
      <c r="M8" s="33" t="s">
        <v>140</v>
      </c>
      <c r="N8" s="33" t="s">
        <v>87</v>
      </c>
      <c r="O8" s="34" t="s">
        <v>92</v>
      </c>
      <c r="P8" s="34" t="s">
        <v>88</v>
      </c>
      <c r="Q8" s="34" t="s">
        <v>0</v>
      </c>
      <c r="R8" s="34" t="s">
        <v>90</v>
      </c>
      <c r="S8" s="34" t="s">
        <v>91</v>
      </c>
      <c r="T8" s="39" t="s">
        <v>106</v>
      </c>
      <c r="U8" s="39" t="s">
        <v>137</v>
      </c>
      <c r="V8" s="39" t="s">
        <v>191</v>
      </c>
      <c r="W8" s="39" t="s">
        <v>167</v>
      </c>
      <c r="X8" s="39" t="s">
        <v>107</v>
      </c>
      <c r="Y8" s="35" t="s">
        <v>141</v>
      </c>
      <c r="Z8" s="33" t="s">
        <v>108</v>
      </c>
      <c r="AA8" s="33" t="s">
        <v>110</v>
      </c>
      <c r="AB8" s="33" t="s">
        <v>109</v>
      </c>
      <c r="AC8" s="60"/>
      <c r="AD8" s="21"/>
    </row>
    <row r="9" spans="1:42" ht="15.75" x14ac:dyDescent="0.25">
      <c r="A9" s="76" t="s">
        <v>163</v>
      </c>
      <c r="B9" s="77" t="s">
        <v>164</v>
      </c>
      <c r="D9" s="21"/>
      <c r="E9" s="21"/>
      <c r="F9" s="21"/>
      <c r="H9" s="6"/>
      <c r="I9" s="6"/>
      <c r="J9" s="8"/>
      <c r="K9" s="7"/>
      <c r="L9" s="7"/>
      <c r="M9" s="7"/>
      <c r="N9" s="7"/>
      <c r="O9" s="34"/>
      <c r="P9" s="34"/>
      <c r="Q9" s="34"/>
      <c r="R9" s="34"/>
      <c r="S9" s="34"/>
      <c r="T9" s="39"/>
      <c r="U9" s="39"/>
      <c r="V9" s="39"/>
      <c r="W9" s="39"/>
      <c r="X9" s="39"/>
      <c r="Y9" s="35"/>
      <c r="Z9" s="33"/>
      <c r="AA9" s="33"/>
      <c r="AB9" s="33"/>
      <c r="AC9" s="60"/>
      <c r="AD9" s="21"/>
    </row>
    <row r="10" spans="1:42" ht="14.45" customHeight="1" x14ac:dyDescent="0.25">
      <c r="A10" s="73" t="s">
        <v>143</v>
      </c>
      <c r="B10" s="73"/>
      <c r="D10" s="21"/>
      <c r="E10" s="153" t="s">
        <v>139</v>
      </c>
      <c r="F10" s="21"/>
      <c r="H10" s="67" t="s">
        <v>142</v>
      </c>
      <c r="I10" s="50" t="s">
        <v>196</v>
      </c>
      <c r="J10" s="51"/>
      <c r="K10" s="51"/>
      <c r="L10" s="51"/>
      <c r="M10" s="51"/>
      <c r="N10" s="51"/>
      <c r="O10" s="59"/>
      <c r="P10" s="59"/>
      <c r="Q10" s="59"/>
      <c r="R10" s="132">
        <v>1</v>
      </c>
      <c r="S10" s="133"/>
      <c r="T10" s="59"/>
      <c r="U10" s="59"/>
      <c r="V10" s="59"/>
      <c r="W10" s="59"/>
      <c r="X10" s="59"/>
      <c r="Y10" s="134" t="str">
        <f>I10</f>
        <v>betonvloer tussenvloeren</v>
      </c>
      <c r="Z10" s="72">
        <f>Z16+Z23</f>
        <v>38373.695999999996</v>
      </c>
      <c r="AA10" s="72">
        <f>AA16+AA23</f>
        <v>355.31200000000001</v>
      </c>
      <c r="AB10" s="72">
        <f>AB16+AB23</f>
        <v>314.5384918032787</v>
      </c>
      <c r="AC10" s="60"/>
      <c r="AD10" s="21"/>
    </row>
    <row r="11" spans="1:42" x14ac:dyDescent="0.25">
      <c r="A11" s="1">
        <v>100</v>
      </c>
      <c r="B11" s="1" t="s">
        <v>7</v>
      </c>
      <c r="D11" s="21"/>
      <c r="E11" s="153"/>
      <c r="F11" s="21"/>
      <c r="H11" s="67">
        <v>230</v>
      </c>
      <c r="I11" s="135" t="str" cm="1">
        <f t="array" ref="I11">_xlfn.XLOOKUP(H11,MateriaalDatabank!$A$1:A300,MateriaalDatabank!$B$1:B300,0.0000001)</f>
        <v>Hardhout</v>
      </c>
      <c r="J11" s="135" cm="1">
        <f t="array" ref="J11">_xlfn.XLOOKUP(I11,MateriaalDatabank!$B$1:B300,MateriaalDatabank!$C$1:C300,0.0000001)</f>
        <v>0.17</v>
      </c>
      <c r="K11" s="135" cm="1">
        <f t="array" ref="K11">_xlfn.XLOOKUP(I11,MateriaalDatabank!$B$1:B300,MateriaalDatabank!$D$1:D300,0.0000001)</f>
        <v>800</v>
      </c>
      <c r="L11" s="135" cm="1">
        <f t="array" ref="L11">_xlfn.XLOOKUP(I11,MateriaalDatabank!$B$1:B300,MateriaalDatabank!$E$1:E300,0.0000001)</f>
        <v>1880</v>
      </c>
      <c r="M11" s="128">
        <v>0.01</v>
      </c>
      <c r="N11" s="130">
        <f>5.4*10*2</f>
        <v>108</v>
      </c>
      <c r="O11" s="36">
        <f>Q11</f>
        <v>5.8823529411764705E-2</v>
      </c>
      <c r="P11" s="36">
        <f>IF(S11&gt;0,S11*M11,0)</f>
        <v>0.01</v>
      </c>
      <c r="Q11" s="36">
        <f>IF(M11&gt;0,M11/J11,0)</f>
        <v>5.8823529411764705E-2</v>
      </c>
      <c r="R11" s="37">
        <f>IF(O11&gt;0.25,0,1)</f>
        <v>1</v>
      </c>
      <c r="S11" s="38">
        <f>IF((R11+R10)=1,((0.25-O10)*J11)/M11,R11)</f>
        <v>1</v>
      </c>
      <c r="T11" s="40">
        <f>IF(S11*M11&gt;0.1,0.1,S11*M11)</f>
        <v>0.01</v>
      </c>
      <c r="U11" s="40">
        <f>M11/M16</f>
        <v>4.95049504950495E-2</v>
      </c>
      <c r="V11" s="41">
        <f>IF(U11&lt;(0.5),1,0)</f>
        <v>1</v>
      </c>
      <c r="W11" s="41">
        <f>IF(V11+V10=0,0.5*M16,M11*V11)</f>
        <v>0.01</v>
      </c>
      <c r="X11" s="40">
        <f>IF(J11&gt;0,T11/J11,0)</f>
        <v>5.8823529411764705E-2</v>
      </c>
      <c r="Y11" s="40">
        <f>MIN(W11,T11)</f>
        <v>0.01</v>
      </c>
      <c r="Z11" s="44">
        <f>N11*K11*L11*T11/1000</f>
        <v>1624.32</v>
      </c>
      <c r="AA11" s="44">
        <f>IF(N11&gt;0,Z11/N11,0)</f>
        <v>15.04</v>
      </c>
      <c r="AB11" s="45"/>
      <c r="AC11" s="60"/>
      <c r="AD11" s="21"/>
      <c r="AK11" s="12"/>
      <c r="AL11" s="12"/>
      <c r="AN11" s="13"/>
      <c r="AO11" s="13"/>
      <c r="AP11" s="13"/>
    </row>
    <row r="12" spans="1:42" x14ac:dyDescent="0.25">
      <c r="A12" s="1">
        <v>101</v>
      </c>
      <c r="B12" s="1" t="s">
        <v>8</v>
      </c>
      <c r="D12" s="21"/>
      <c r="E12" s="153"/>
      <c r="F12" s="21"/>
      <c r="H12" s="67">
        <v>235</v>
      </c>
      <c r="I12" s="135" t="str" cm="1">
        <f t="array" ref="I12">_xlfn.XLOOKUP(H12,MateriaalDatabank!$A$1:A301,MateriaalDatabank!$B$1:B301,0.0000001)</f>
        <v>Spaanplaat</v>
      </c>
      <c r="J12" s="135" cm="1">
        <f t="array" ref="J12">_xlfn.XLOOKUP(I12,MateriaalDatabank!$B$1:B301,MateriaalDatabank!$C$1:C301,0.0000001)</f>
        <v>0.1</v>
      </c>
      <c r="K12" s="135" cm="1">
        <f t="array" ref="K12">_xlfn.XLOOKUP(I12,MateriaalDatabank!$B$1:B301,MateriaalDatabank!$D$1:D301,0.0000001)</f>
        <v>450</v>
      </c>
      <c r="L12" s="135" cm="1">
        <f t="array" ref="L12">_xlfn.XLOOKUP(I12,MateriaalDatabank!$B$1:B301,MateriaalDatabank!$E$1:E301,0.0000001)</f>
        <v>1880</v>
      </c>
      <c r="M12" s="128">
        <v>1.2E-2</v>
      </c>
      <c r="N12" s="136">
        <f>N11</f>
        <v>108</v>
      </c>
      <c r="O12" s="3">
        <f>O11+Q12</f>
        <v>0.17882352941176471</v>
      </c>
      <c r="P12" s="3">
        <f t="shared" ref="P12:P15" si="0">IF(S12&gt;0,S12*M12,0)</f>
        <v>1.2E-2</v>
      </c>
      <c r="Q12" s="3">
        <f>IF(M12&gt;0,M12/J12,0)</f>
        <v>0.12</v>
      </c>
      <c r="R12" s="10">
        <f>IF(O12&gt;0.25,0,1)</f>
        <v>1</v>
      </c>
      <c r="S12" s="11">
        <f t="shared" ref="S12:S15" si="1">IF((R12+R11)=1,((0.25-O11)*J12)/M12,R12)</f>
        <v>1</v>
      </c>
      <c r="T12" s="42">
        <f>IF(S12*M12&gt;0.1-T11,0.1-T11,S12*M12)</f>
        <v>1.2E-2</v>
      </c>
      <c r="U12" s="42">
        <f>(M11+M12)/M16</f>
        <v>0.1089108910891089</v>
      </c>
      <c r="V12" s="43">
        <f>IF(U12&lt;(0.5),1,0)</f>
        <v>1</v>
      </c>
      <c r="W12" s="43">
        <f>IF(V12+V11=1,0.5*M16-M11,M12*V12)</f>
        <v>1.2E-2</v>
      </c>
      <c r="X12" s="42">
        <f t="shared" ref="X12:X15" si="2">IF(J12&gt;0,T12/J12,0)</f>
        <v>0.12</v>
      </c>
      <c r="Y12" s="42">
        <f>MIN(W12,T12)</f>
        <v>1.2E-2</v>
      </c>
      <c r="Z12" s="46">
        <f>N12*K12*L12*T12/1000</f>
        <v>1096.4159999999999</v>
      </c>
      <c r="AA12" s="46">
        <f t="shared" ref="AA12:AA15" si="3">IF(N12&gt;0,Z12/N12,0)</f>
        <v>10.151999999999999</v>
      </c>
      <c r="AB12" s="47"/>
      <c r="AC12" s="60"/>
      <c r="AD12" s="21"/>
      <c r="AK12" s="12"/>
      <c r="AL12" s="12"/>
      <c r="AN12" s="13"/>
      <c r="AO12" s="13"/>
      <c r="AP12" s="13"/>
    </row>
    <row r="13" spans="1:42" x14ac:dyDescent="0.25">
      <c r="A13" s="1">
        <v>102</v>
      </c>
      <c r="B13" s="1" t="s">
        <v>9</v>
      </c>
      <c r="D13" s="21"/>
      <c r="E13" s="153"/>
      <c r="F13" s="21"/>
      <c r="H13" s="67">
        <v>250</v>
      </c>
      <c r="I13" s="135" t="str" cm="1">
        <f t="array" ref="I13">_xlfn.XLOOKUP(H13,MateriaalDatabank!$A$1:A302,MateriaalDatabank!$B$1:B302,0.0000001)</f>
        <v>(voorbeeld) anhydriet</v>
      </c>
      <c r="J13" s="135" cm="1">
        <f t="array" ref="J13">_xlfn.XLOOKUP(I13,MateriaalDatabank!$B$1:B302,MateriaalDatabank!$C$1:C302,0.0000001)</f>
        <v>1.2</v>
      </c>
      <c r="K13" s="135" cm="1">
        <f t="array" ref="K13">_xlfn.XLOOKUP(I13,MateriaalDatabank!$B$1:B302,MateriaalDatabank!$D$1:D302,0.0000001)</f>
        <v>1200</v>
      </c>
      <c r="L13" s="135" cm="1">
        <f t="array" ref="L13">_xlfn.XLOOKUP(I13,MateriaalDatabank!$B$1:B302,MateriaalDatabank!$E$1:E302,0.0000001)</f>
        <v>840</v>
      </c>
      <c r="M13" s="129">
        <v>0.04</v>
      </c>
      <c r="N13" s="136">
        <f>N12</f>
        <v>108</v>
      </c>
      <c r="O13" s="3">
        <f>O12+Q13</f>
        <v>0.21215686274509804</v>
      </c>
      <c r="P13" s="3">
        <f t="shared" si="0"/>
        <v>0.04</v>
      </c>
      <c r="Q13" s="3">
        <f t="shared" ref="Q13:Q15" si="4">IF(M13&gt;0,M13/J13,0)</f>
        <v>3.3333333333333333E-2</v>
      </c>
      <c r="R13" s="10">
        <f>IF(O13&gt;0.25,0,1)</f>
        <v>1</v>
      </c>
      <c r="S13" s="11">
        <f t="shared" si="1"/>
        <v>1</v>
      </c>
      <c r="T13" s="42">
        <f>IF(S13*M13&gt;0.1-T12-T11,0.1-T12-T11,S13*M13)</f>
        <v>0.04</v>
      </c>
      <c r="U13" s="42">
        <f>(M11+M12+M13)/M16</f>
        <v>0.30693069306930693</v>
      </c>
      <c r="V13" s="43">
        <f>IF(U13&lt;(0.5),1,0)</f>
        <v>1</v>
      </c>
      <c r="W13" s="43">
        <f>IF(V13+V12=1,0.5*M16-M12-M11,M13*V13)</f>
        <v>0.04</v>
      </c>
      <c r="X13" s="42">
        <f t="shared" si="2"/>
        <v>3.3333333333333333E-2</v>
      </c>
      <c r="Y13" s="42">
        <f t="shared" ref="Y13:Y15" si="5">MIN(W13,T13)</f>
        <v>0.04</v>
      </c>
      <c r="Z13" s="46">
        <f>N13*K13*L13*T13/1000</f>
        <v>4354.5600000000004</v>
      </c>
      <c r="AA13" s="46">
        <f t="shared" si="3"/>
        <v>40.32</v>
      </c>
      <c r="AB13" s="47"/>
      <c r="AC13" s="60"/>
      <c r="AD13" s="21"/>
      <c r="AK13" s="12"/>
      <c r="AL13" s="12"/>
      <c r="AN13" s="13"/>
      <c r="AO13" s="13"/>
      <c r="AP13" s="13"/>
    </row>
    <row r="14" spans="1:42" x14ac:dyDescent="0.25">
      <c r="D14" s="21"/>
      <c r="E14" s="153"/>
      <c r="F14" s="21"/>
      <c r="H14" s="67">
        <v>130</v>
      </c>
      <c r="I14" s="135" t="str" cm="1">
        <f t="array" ref="I14">_xlfn.XLOOKUP(H14,MateriaalDatabank!$A$1:A303,MateriaalDatabank!$B$1:B303,0.0000001)</f>
        <v>verdicht gewapend</v>
      </c>
      <c r="J14" s="135" cm="1">
        <f t="array" ref="J14">_xlfn.XLOOKUP(I14,MateriaalDatabank!$B$1:B303,MateriaalDatabank!$C$1:C303,0.0000001)</f>
        <v>1.9</v>
      </c>
      <c r="K14" s="135" cm="1">
        <f t="array" ref="K14">_xlfn.XLOOKUP(I14,MateriaalDatabank!$B$1:B303,MateriaalDatabank!$D$1:D303,0.0000001)</f>
        <v>2500</v>
      </c>
      <c r="L14" s="135" cm="1">
        <f t="array" ref="L14">_xlfn.XLOOKUP(I14,MateriaalDatabank!$B$1:B303,MateriaalDatabank!$E$1:E303,0.0000001)</f>
        <v>840</v>
      </c>
      <c r="M14" s="129">
        <v>0.14000000000000001</v>
      </c>
      <c r="N14" s="136">
        <f t="shared" ref="N14:N15" si="6">N13</f>
        <v>108</v>
      </c>
      <c r="O14" s="3">
        <f>O13+Q14</f>
        <v>0.28584107327141384</v>
      </c>
      <c r="P14" s="3">
        <f t="shared" si="0"/>
        <v>7.1901960784313726E-2</v>
      </c>
      <c r="Q14" s="3">
        <f t="shared" si="4"/>
        <v>7.3684210526315796E-2</v>
      </c>
      <c r="R14" s="10">
        <f>IF(O14&gt;0.25,0,1)</f>
        <v>0</v>
      </c>
      <c r="S14" s="11">
        <f t="shared" si="1"/>
        <v>0.51358543417366942</v>
      </c>
      <c r="T14" s="42">
        <f>IF(S14*M14&gt;0.1-T13-T12-T11,0.1-T13-T12-T11,S14*M14)</f>
        <v>3.7999999999999999E-2</v>
      </c>
      <c r="U14" s="42">
        <f>(M11+M12+M13+M14)/M16</f>
        <v>1</v>
      </c>
      <c r="V14" s="43">
        <f>IF(U14&lt;(0.5),1,0)</f>
        <v>0</v>
      </c>
      <c r="W14" s="43">
        <f>IF(V14+V13=1,0.5*M16-M13-M12-M11,M14*V14)</f>
        <v>3.9E-2</v>
      </c>
      <c r="X14" s="42">
        <f t="shared" si="2"/>
        <v>0.02</v>
      </c>
      <c r="Y14" s="42">
        <f t="shared" si="5"/>
        <v>3.7999999999999999E-2</v>
      </c>
      <c r="Z14" s="46">
        <f>N14*K14*L14*T14/1000</f>
        <v>8618.4</v>
      </c>
      <c r="AA14" s="46">
        <f t="shared" si="3"/>
        <v>79.8</v>
      </c>
      <c r="AB14" s="47"/>
      <c r="AC14" s="60"/>
      <c r="AD14" s="21"/>
      <c r="AK14" s="12"/>
      <c r="AL14" s="12"/>
      <c r="AN14" s="13"/>
      <c r="AO14" s="13"/>
      <c r="AP14" s="13"/>
    </row>
    <row r="15" spans="1:42" ht="14.45" customHeight="1" x14ac:dyDescent="0.25">
      <c r="A15" s="73" t="s">
        <v>144</v>
      </c>
      <c r="B15" s="73"/>
      <c r="D15" s="21"/>
      <c r="E15" s="153"/>
      <c r="F15" s="21"/>
      <c r="H15" s="67"/>
      <c r="I15" s="135" cm="1">
        <f t="array" ref="I15">_xlfn.XLOOKUP(H15,MateriaalDatabank!$A$1:A304,MateriaalDatabank!$B$1:B304,0.0000001)</f>
        <v>0</v>
      </c>
      <c r="J15" s="135" cm="1">
        <f t="array" ref="J15">_xlfn.XLOOKUP(I15,MateriaalDatabank!$B$1:B304,MateriaalDatabank!$C$1:C304,0.0000001)</f>
        <v>9.9999999999999995E-8</v>
      </c>
      <c r="K15" s="135" cm="1">
        <f t="array" ref="K15">_xlfn.XLOOKUP(I15,MateriaalDatabank!$B$1:B304,MateriaalDatabank!$D$1:D304,0.0000001)</f>
        <v>9.9999999999999995E-8</v>
      </c>
      <c r="L15" s="135" cm="1">
        <f t="array" ref="L15">_xlfn.XLOOKUP(I15,MateriaalDatabank!$B$1:B304,MateriaalDatabank!$E$1:E304,0.0000001)</f>
        <v>9.9999999999999995E-8</v>
      </c>
      <c r="M15" s="128"/>
      <c r="N15" s="136">
        <f t="shared" si="6"/>
        <v>108</v>
      </c>
      <c r="O15" s="3">
        <f>O14+Q15</f>
        <v>0.28584107327141384</v>
      </c>
      <c r="P15" s="3">
        <f t="shared" si="0"/>
        <v>0</v>
      </c>
      <c r="Q15" s="3">
        <f t="shared" si="4"/>
        <v>0</v>
      </c>
      <c r="R15" s="10">
        <f>IF(O15&gt;0.25,0,1)</f>
        <v>0</v>
      </c>
      <c r="S15" s="11">
        <f t="shared" si="1"/>
        <v>0</v>
      </c>
      <c r="T15" s="42">
        <f>IF(S15*M15&gt;0.1-T14-T13-T12-T11,0.1-T14-T13-T12-T11,S15*M15)</f>
        <v>0</v>
      </c>
      <c r="U15" s="42">
        <f>(M11+M12+M13+M14+M15)/M16</f>
        <v>1</v>
      </c>
      <c r="V15" s="43">
        <f>IF(U15&lt;(0.5),1,0)</f>
        <v>0</v>
      </c>
      <c r="W15" s="43">
        <f>IF(V15+V14=1,0.5*M16-M14-M13-M12-M11,M15*V15)</f>
        <v>0</v>
      </c>
      <c r="X15" s="42">
        <f t="shared" si="2"/>
        <v>0</v>
      </c>
      <c r="Y15" s="42">
        <f t="shared" si="5"/>
        <v>0</v>
      </c>
      <c r="Z15" s="46">
        <f>N15*K15*L15*T15/1000</f>
        <v>0</v>
      </c>
      <c r="AA15" s="46">
        <f t="shared" si="3"/>
        <v>0</v>
      </c>
      <c r="AB15" s="47"/>
      <c r="AC15" s="60"/>
      <c r="AD15" s="21"/>
      <c r="AJ15" s="1" t="str">
        <f>L5&amp;" m2 Ag ;  Ci="&amp;ROUND(AB5,0)&amp;" kJ/m2Ag"</f>
        <v>122 m2 Ag ;  Ci=550 kJ/m2Ag</v>
      </c>
      <c r="AK15" s="1" t="s">
        <v>114</v>
      </c>
      <c r="AL15" s="12"/>
      <c r="AN15" s="13"/>
      <c r="AO15" s="13"/>
      <c r="AP15" s="13"/>
    </row>
    <row r="16" spans="1:42" x14ac:dyDescent="0.25">
      <c r="A16" s="1">
        <v>110</v>
      </c>
      <c r="B16" s="1" t="s">
        <v>81</v>
      </c>
      <c r="D16" s="21"/>
      <c r="E16" s="18"/>
      <c r="F16" s="21"/>
      <c r="H16" s="55"/>
      <c r="I16" s="55"/>
      <c r="J16" s="56"/>
      <c r="K16" s="57"/>
      <c r="L16" s="56"/>
      <c r="M16" s="137">
        <f>SUM(M11:M15)+0.00000000000000001</f>
        <v>0.20200000000000001</v>
      </c>
      <c r="N16" s="49">
        <f>N11</f>
        <v>108</v>
      </c>
      <c r="O16" s="57"/>
      <c r="P16" s="137">
        <f>SUM(P11:P15)</f>
        <v>0.13390196078431371</v>
      </c>
      <c r="Q16" s="137">
        <f>SUM(Q11:Q15)</f>
        <v>0.28584107327141384</v>
      </c>
      <c r="R16" s="57"/>
      <c r="S16" s="57"/>
      <c r="T16" s="137">
        <f>SUM(T11:T15)</f>
        <v>0.1</v>
      </c>
      <c r="U16" s="137"/>
      <c r="V16" s="138">
        <f>W16/M16</f>
        <v>0.5</v>
      </c>
      <c r="W16" s="137">
        <f>SUM(W11:W15)</f>
        <v>0.10100000000000001</v>
      </c>
      <c r="X16" s="137">
        <f>SUM(X11:X15)</f>
        <v>0.23215686274509803</v>
      </c>
      <c r="Y16" s="137"/>
      <c r="Z16" s="58">
        <f>SUM(Z11:Z15)</f>
        <v>15693.696</v>
      </c>
      <c r="AA16" s="58">
        <f>IF(N16&gt;0,Z16/N16,0)</f>
        <v>145.31200000000001</v>
      </c>
      <c r="AB16" s="58">
        <f>Z16/$L$5</f>
        <v>128.63685245901638</v>
      </c>
      <c r="AC16" s="60"/>
      <c r="AD16" s="21"/>
      <c r="AG16" s="1">
        <v>1</v>
      </c>
      <c r="AH16" s="1" t="str">
        <f>I10</f>
        <v>betonvloer tussenvloeren</v>
      </c>
      <c r="AI16" s="1" t="str">
        <f t="shared" ref="AI16:AI28" si="7">IF(AH16="constructienaam","",AH16)</f>
        <v>betonvloer tussenvloeren</v>
      </c>
      <c r="AJ16" s="13">
        <f>AB16</f>
        <v>128.63685245901638</v>
      </c>
    </row>
    <row r="17" spans="1:37" ht="14.45" customHeight="1" x14ac:dyDescent="0.25">
      <c r="A17" s="1">
        <v>111</v>
      </c>
      <c r="B17" s="1" t="s">
        <v>12</v>
      </c>
      <c r="D17" s="21"/>
      <c r="E17" s="153" t="s">
        <v>138</v>
      </c>
      <c r="F17" s="83" t="s">
        <v>163</v>
      </c>
      <c r="H17" s="68">
        <v>1</v>
      </c>
      <c r="I17" s="52" t="str">
        <f>I10 &amp; " &lt;-- onderzijde (gespiegelde weergave)"</f>
        <v>betonvloer tussenvloeren &lt;-- onderzijde (gespiegelde weergave)</v>
      </c>
      <c r="J17" s="53"/>
      <c r="K17" s="53"/>
      <c r="L17" s="53"/>
      <c r="M17" s="53"/>
      <c r="N17" s="54"/>
      <c r="O17" s="2"/>
      <c r="P17" s="2"/>
      <c r="Q17" s="2"/>
      <c r="R17" s="139">
        <v>1</v>
      </c>
      <c r="S17" s="10"/>
      <c r="T17" s="42"/>
      <c r="U17" s="42"/>
      <c r="V17" s="43"/>
      <c r="W17" s="43"/>
      <c r="X17" s="42"/>
      <c r="Y17" s="42"/>
      <c r="Z17" s="48"/>
      <c r="AA17" s="48"/>
      <c r="AB17" s="48"/>
      <c r="AC17" s="60"/>
      <c r="AD17" s="21"/>
      <c r="AG17" s="1">
        <v>2</v>
      </c>
      <c r="AH17" s="1" t="str">
        <f>I17</f>
        <v>betonvloer tussenvloeren &lt;-- onderzijde (gespiegelde weergave)</v>
      </c>
      <c r="AI17" s="1" t="str">
        <f t="shared" si="7"/>
        <v>betonvloer tussenvloeren &lt;-- onderzijde (gespiegelde weergave)</v>
      </c>
      <c r="AJ17" s="13">
        <f>AB23</f>
        <v>185.90163934426229</v>
      </c>
    </row>
    <row r="18" spans="1:37" x14ac:dyDescent="0.25">
      <c r="A18" s="1">
        <v>112</v>
      </c>
      <c r="B18" s="1" t="s">
        <v>13</v>
      </c>
      <c r="D18" s="21"/>
      <c r="E18" s="153"/>
      <c r="F18" s="21"/>
      <c r="H18" s="53"/>
      <c r="I18" s="140">
        <f>I15</f>
        <v>0</v>
      </c>
      <c r="J18" s="141">
        <f t="shared" ref="J18:M18" si="8">J15</f>
        <v>9.9999999999999995E-8</v>
      </c>
      <c r="K18" s="141">
        <f t="shared" si="8"/>
        <v>9.9999999999999995E-8</v>
      </c>
      <c r="L18" s="141">
        <f t="shared" si="8"/>
        <v>9.9999999999999995E-8</v>
      </c>
      <c r="M18" s="142">
        <f t="shared" si="8"/>
        <v>0</v>
      </c>
      <c r="N18" s="143">
        <f>N11*$H$17</f>
        <v>108</v>
      </c>
      <c r="O18" s="3">
        <f>Q18</f>
        <v>0</v>
      </c>
      <c r="P18" s="3">
        <f>IF(S18&gt;0,S18*M18,0)</f>
        <v>0</v>
      </c>
      <c r="Q18" s="3">
        <f>IF(M18&gt;0,M18/J18,0)</f>
        <v>0</v>
      </c>
      <c r="R18" s="10">
        <f>IF(O18&gt;0.25,0,1)</f>
        <v>1</v>
      </c>
      <c r="S18" s="11">
        <f>IF((R18+R17)=1,((0.25-O17)*J18)/M18,R18)</f>
        <v>1</v>
      </c>
      <c r="T18" s="42">
        <f>IF(S18*M18&gt;0.1,0.1,S18*M18)</f>
        <v>0</v>
      </c>
      <c r="U18" s="42">
        <f>M18/M23</f>
        <v>0</v>
      </c>
      <c r="V18" s="43">
        <f>IF(U18&lt;(0.5),1,0)</f>
        <v>1</v>
      </c>
      <c r="W18" s="41">
        <f>IF(V18+V17=0,0.5*M23,M18*V18)</f>
        <v>0</v>
      </c>
      <c r="X18" s="42">
        <f>IF(J18&gt;0,T18/J18,0)</f>
        <v>0</v>
      </c>
      <c r="Y18" s="42">
        <f>MIN(W18,T18)</f>
        <v>0</v>
      </c>
      <c r="Z18" s="46">
        <f>N18*K18*L18*T18/1000</f>
        <v>0</v>
      </c>
      <c r="AA18" s="46">
        <f>IF(N18&gt;0,Z18/N18,0)</f>
        <v>0</v>
      </c>
      <c r="AB18" s="47"/>
      <c r="AC18" s="60"/>
      <c r="AD18" s="21"/>
      <c r="AG18" s="1">
        <v>3</v>
      </c>
      <c r="AH18" s="1" t="str">
        <f>I25</f>
        <v>kalkzandsteenwanden woningscheidend</v>
      </c>
      <c r="AI18" s="1" t="str">
        <f t="shared" si="7"/>
        <v>kalkzandsteenwanden woningscheidend</v>
      </c>
      <c r="AJ18" s="13">
        <f>AB31</f>
        <v>169.11885245901638</v>
      </c>
      <c r="AK18" s="13"/>
    </row>
    <row r="19" spans="1:37" x14ac:dyDescent="0.25">
      <c r="A19" s="1">
        <v>113</v>
      </c>
      <c r="B19" s="1" t="s">
        <v>14</v>
      </c>
      <c r="D19" s="21"/>
      <c r="E19" s="153"/>
      <c r="F19" s="21"/>
      <c r="H19" s="144"/>
      <c r="I19" s="140" t="str">
        <f>I14</f>
        <v>verdicht gewapend</v>
      </c>
      <c r="J19" s="141">
        <f t="shared" ref="J19:M19" si="9">J14</f>
        <v>1.9</v>
      </c>
      <c r="K19" s="141">
        <f t="shared" si="9"/>
        <v>2500</v>
      </c>
      <c r="L19" s="141">
        <f t="shared" si="9"/>
        <v>840</v>
      </c>
      <c r="M19" s="142">
        <f t="shared" si="9"/>
        <v>0.14000000000000001</v>
      </c>
      <c r="N19" s="143">
        <f t="shared" ref="N19:N22" si="10">N12*$H$17</f>
        <v>108</v>
      </c>
      <c r="O19" s="3">
        <f>O18+Q19</f>
        <v>7.3684210526315796E-2</v>
      </c>
      <c r="P19" s="3">
        <f t="shared" ref="P19:P22" si="11">IF(S19&gt;0,S19*M19,0)</f>
        <v>0.14000000000000001</v>
      </c>
      <c r="Q19" s="3">
        <f>IF(M19&gt;0,M19/J19,0)</f>
        <v>7.3684210526315796E-2</v>
      </c>
      <c r="R19" s="10">
        <f>IF(O19&gt;0.25,0,1)</f>
        <v>1</v>
      </c>
      <c r="S19" s="11">
        <f t="shared" ref="S19:S22" si="12">IF((R19+R18)=1,((0.25-O18)*J19)/M19,R19)</f>
        <v>1</v>
      </c>
      <c r="T19" s="42">
        <f>IF(S19*M19&gt;0.1-T18,0.1-T18,S19*M19)</f>
        <v>0.1</v>
      </c>
      <c r="U19" s="42">
        <f>(M18+M19)/M23</f>
        <v>0.69306930693069302</v>
      </c>
      <c r="V19" s="43">
        <f>IF(U19&lt;(0.5),1,0)</f>
        <v>0</v>
      </c>
      <c r="W19" s="43">
        <f>IF(V19+V18=1,0.5*M23-M18,M19*V19)</f>
        <v>0.10100000000000002</v>
      </c>
      <c r="X19" s="42">
        <f t="shared" ref="X19:X22" si="13">IF(J19&gt;0,T19/J19,0)</f>
        <v>5.2631578947368425E-2</v>
      </c>
      <c r="Y19" s="42">
        <f>MIN(W19,T19)</f>
        <v>0.1</v>
      </c>
      <c r="Z19" s="46">
        <f>N19*K19*L19*T19/1000</f>
        <v>22680</v>
      </c>
      <c r="AA19" s="46">
        <f t="shared" ref="AA19:AA22" si="14">IF(N19&gt;0,Z19/N19,0)</f>
        <v>210</v>
      </c>
      <c r="AB19" s="47"/>
      <c r="AC19" s="60"/>
      <c r="AD19" s="21"/>
      <c r="AG19" s="1">
        <v>4</v>
      </c>
      <c r="AH19" s="1" t="str">
        <f>I32</f>
        <v>kalkzandsteenwanden woningscheidend &lt;-- onderzijde (gespiegelde weergave)</v>
      </c>
      <c r="AI19" s="1" t="str">
        <f t="shared" si="7"/>
        <v>kalkzandsteenwanden woningscheidend &lt;-- onderzijde (gespiegelde weergave)</v>
      </c>
      <c r="AJ19" s="13">
        <f>AB38</f>
        <v>0</v>
      </c>
      <c r="AK19" s="13"/>
    </row>
    <row r="20" spans="1:37" x14ac:dyDescent="0.25">
      <c r="A20" s="1">
        <v>114</v>
      </c>
      <c r="B20" s="1" t="s">
        <v>15</v>
      </c>
      <c r="D20" s="21"/>
      <c r="E20" s="153"/>
      <c r="F20" s="21"/>
      <c r="H20" s="144"/>
      <c r="I20" s="140" t="str">
        <f>I13</f>
        <v>(voorbeeld) anhydriet</v>
      </c>
      <c r="J20" s="141">
        <f t="shared" ref="J20:M20" si="15">J13</f>
        <v>1.2</v>
      </c>
      <c r="K20" s="141">
        <f t="shared" si="15"/>
        <v>1200</v>
      </c>
      <c r="L20" s="141">
        <f t="shared" si="15"/>
        <v>840</v>
      </c>
      <c r="M20" s="142">
        <f t="shared" si="15"/>
        <v>0.04</v>
      </c>
      <c r="N20" s="143">
        <f t="shared" si="10"/>
        <v>108</v>
      </c>
      <c r="O20" s="3">
        <f>O19+Q20</f>
        <v>0.10701754385964912</v>
      </c>
      <c r="P20" s="3">
        <f t="shared" si="11"/>
        <v>0.04</v>
      </c>
      <c r="Q20" s="3">
        <f t="shared" ref="Q20:Q22" si="16">IF(M20&gt;0,M20/J20,0)</f>
        <v>3.3333333333333333E-2</v>
      </c>
      <c r="R20" s="10">
        <f>IF(O20&gt;0.25,0,1)</f>
        <v>1</v>
      </c>
      <c r="S20" s="11">
        <f t="shared" si="12"/>
        <v>1</v>
      </c>
      <c r="T20" s="42">
        <f>IF(S20*M20&gt;0.1-T19-T18,0.1-T19-T18,S20*M20)</f>
        <v>0</v>
      </c>
      <c r="U20" s="42">
        <f>(M18+M19+M20)/M23</f>
        <v>0.89108910891089099</v>
      </c>
      <c r="V20" s="43">
        <f>IF(U20&lt;(0.5),1,0)</f>
        <v>0</v>
      </c>
      <c r="W20" s="43">
        <f>IF(V20+V19=1,0.5*M23-M19-M18,M20*V20)</f>
        <v>0</v>
      </c>
      <c r="X20" s="42">
        <f t="shared" si="13"/>
        <v>0</v>
      </c>
      <c r="Y20" s="42">
        <f t="shared" ref="Y20:Y22" si="17">MIN(W20,T20)</f>
        <v>0</v>
      </c>
      <c r="Z20" s="46">
        <f>N20*K20*L20*T20/1000</f>
        <v>0</v>
      </c>
      <c r="AA20" s="46">
        <f t="shared" si="14"/>
        <v>0</v>
      </c>
      <c r="AB20" s="47"/>
      <c r="AC20" s="60"/>
      <c r="AD20" s="21"/>
      <c r="AG20" s="1">
        <v>5</v>
      </c>
      <c r="AH20" s="1" t="str">
        <f>I40</f>
        <v>betonvloer bg</v>
      </c>
      <c r="AI20" s="1" t="str">
        <f t="shared" si="7"/>
        <v>betonvloer bg</v>
      </c>
      <c r="AJ20" s="13">
        <f>AB46</f>
        <v>66.366885245901642</v>
      </c>
      <c r="AK20" s="13"/>
    </row>
    <row r="21" spans="1:37" x14ac:dyDescent="0.25">
      <c r="D21" s="21"/>
      <c r="E21" s="153"/>
      <c r="F21" s="21"/>
      <c r="H21" s="144"/>
      <c r="I21" s="140" t="str">
        <f>I12</f>
        <v>Spaanplaat</v>
      </c>
      <c r="J21" s="141">
        <f t="shared" ref="J21:M21" si="18">J12</f>
        <v>0.1</v>
      </c>
      <c r="K21" s="141">
        <f t="shared" si="18"/>
        <v>450</v>
      </c>
      <c r="L21" s="141">
        <f t="shared" si="18"/>
        <v>1880</v>
      </c>
      <c r="M21" s="142">
        <f t="shared" si="18"/>
        <v>1.2E-2</v>
      </c>
      <c r="N21" s="143">
        <f t="shared" si="10"/>
        <v>108</v>
      </c>
      <c r="O21" s="3">
        <f>O20+Q21</f>
        <v>0.22701754385964912</v>
      </c>
      <c r="P21" s="3">
        <f t="shared" si="11"/>
        <v>1.2E-2</v>
      </c>
      <c r="Q21" s="3">
        <f t="shared" si="16"/>
        <v>0.12</v>
      </c>
      <c r="R21" s="10">
        <f>IF(O21&gt;0.25,0,1)</f>
        <v>1</v>
      </c>
      <c r="S21" s="11">
        <f t="shared" si="12"/>
        <v>1</v>
      </c>
      <c r="T21" s="42">
        <f>IF(S21*M21&gt;0.1-T20-T19-T18,0.1-T20-T19-T18,S21*M21)</f>
        <v>0</v>
      </c>
      <c r="U21" s="42">
        <f>(M18+M19+M20+M21)/M23</f>
        <v>0.95049504950495045</v>
      </c>
      <c r="V21" s="43">
        <f>IF(U21&lt;(0.5),1,0)</f>
        <v>0</v>
      </c>
      <c r="W21" s="43">
        <f>IF(V21+V20=1,0.5*M23-M20-M19-M18,M21*V21)</f>
        <v>0</v>
      </c>
      <c r="X21" s="42">
        <f t="shared" si="13"/>
        <v>0</v>
      </c>
      <c r="Y21" s="42">
        <f t="shared" si="17"/>
        <v>0</v>
      </c>
      <c r="Z21" s="46">
        <f>N21*K21*L21*T21/1000</f>
        <v>0</v>
      </c>
      <c r="AA21" s="46">
        <f t="shared" si="14"/>
        <v>0</v>
      </c>
      <c r="AB21" s="47"/>
      <c r="AC21" s="60"/>
      <c r="AD21" s="21"/>
      <c r="AG21" s="1">
        <v>6</v>
      </c>
      <c r="AH21" s="1" t="str">
        <f>I47</f>
        <v>betonvloer bg &lt;-- onderzijde (gespiegelde weergave)</v>
      </c>
      <c r="AI21" s="1" t="str">
        <f t="shared" si="7"/>
        <v>betonvloer bg &lt;-- onderzijde (gespiegelde weergave)</v>
      </c>
      <c r="AJ21" s="13">
        <f>AB53</f>
        <v>0</v>
      </c>
      <c r="AK21" s="13"/>
    </row>
    <row r="22" spans="1:37" x14ac:dyDescent="0.25">
      <c r="A22" s="73" t="s">
        <v>145</v>
      </c>
      <c r="B22" s="73"/>
      <c r="D22" s="21"/>
      <c r="E22" s="153"/>
      <c r="F22" s="21"/>
      <c r="H22" s="144"/>
      <c r="I22" s="140" t="str">
        <f>I11</f>
        <v>Hardhout</v>
      </c>
      <c r="J22" s="141">
        <f t="shared" ref="J22:M22" si="19">J11</f>
        <v>0.17</v>
      </c>
      <c r="K22" s="141">
        <f t="shared" si="19"/>
        <v>800</v>
      </c>
      <c r="L22" s="141">
        <f t="shared" si="19"/>
        <v>1880</v>
      </c>
      <c r="M22" s="142">
        <f t="shared" si="19"/>
        <v>0.01</v>
      </c>
      <c r="N22" s="143">
        <f t="shared" si="10"/>
        <v>108</v>
      </c>
      <c r="O22" s="3">
        <f>O21+Q22</f>
        <v>0.28584107327141384</v>
      </c>
      <c r="P22" s="3">
        <f t="shared" si="11"/>
        <v>3.9070175438596505E-3</v>
      </c>
      <c r="Q22" s="3">
        <f t="shared" si="16"/>
        <v>5.8823529411764705E-2</v>
      </c>
      <c r="R22" s="10">
        <f>IF(O22&gt;0.25,0,1)</f>
        <v>0</v>
      </c>
      <c r="S22" s="11">
        <f t="shared" si="12"/>
        <v>0.39070175438596505</v>
      </c>
      <c r="T22" s="42">
        <f>IF(S22*M22&gt;0.1-T21-T20-T19-T18,0.1-T21-T20-T19-T18,S22*M22)</f>
        <v>0</v>
      </c>
      <c r="U22" s="42">
        <f>(M18+M19+M20+M21+M22)/M23</f>
        <v>1</v>
      </c>
      <c r="V22" s="43">
        <f>IF(U22&lt;(0.5),1,0)</f>
        <v>0</v>
      </c>
      <c r="W22" s="43">
        <f>IF(V22+V21=1,0.5*M23-M21-M20-M19-M18,M22*V22)</f>
        <v>0</v>
      </c>
      <c r="X22" s="42">
        <f t="shared" si="13"/>
        <v>0</v>
      </c>
      <c r="Y22" s="42">
        <f t="shared" si="17"/>
        <v>0</v>
      </c>
      <c r="Z22" s="46">
        <f>N22*K22*L22*T22/1000</f>
        <v>0</v>
      </c>
      <c r="AA22" s="46">
        <f t="shared" si="14"/>
        <v>0</v>
      </c>
      <c r="AB22" s="47"/>
      <c r="AC22" s="60"/>
      <c r="AD22" s="21"/>
      <c r="AG22" s="1">
        <v>7</v>
      </c>
      <c r="AH22" s="1" t="str">
        <f>I55</f>
        <v>.</v>
      </c>
      <c r="AI22" s="1" t="str">
        <f t="shared" si="7"/>
        <v>.</v>
      </c>
      <c r="AJ22" s="13">
        <f>AB61</f>
        <v>0</v>
      </c>
      <c r="AK22" s="13"/>
    </row>
    <row r="23" spans="1:37" x14ac:dyDescent="0.25">
      <c r="A23" s="1">
        <v>120</v>
      </c>
      <c r="B23" s="1" t="s">
        <v>17</v>
      </c>
      <c r="D23" s="21"/>
      <c r="E23" s="21"/>
      <c r="F23" s="21"/>
      <c r="H23" s="55"/>
      <c r="I23" s="55"/>
      <c r="J23" s="56"/>
      <c r="K23" s="57"/>
      <c r="L23" s="56"/>
      <c r="M23" s="137">
        <f>SUM(M18:M22)+0.00000000000000001</f>
        <v>0.20200000000000004</v>
      </c>
      <c r="N23" s="49">
        <f>N18</f>
        <v>108</v>
      </c>
      <c r="O23" s="57"/>
      <c r="P23" s="137">
        <f>SUM(P18:P22)</f>
        <v>0.1959070175438597</v>
      </c>
      <c r="Q23" s="137">
        <f>SUM(Q18:Q22)</f>
        <v>0.28584107327141384</v>
      </c>
      <c r="R23" s="57"/>
      <c r="S23" s="57"/>
      <c r="T23" s="137">
        <f>SUM(T18:T22)</f>
        <v>0.1</v>
      </c>
      <c r="U23" s="137"/>
      <c r="V23" s="138">
        <f>W23/M23</f>
        <v>0.5</v>
      </c>
      <c r="W23" s="137">
        <f>SUM(W18:W22)</f>
        <v>0.10100000000000002</v>
      </c>
      <c r="X23" s="137">
        <f>SUM(X18:X22)</f>
        <v>5.2631578947368425E-2</v>
      </c>
      <c r="Y23" s="137"/>
      <c r="Z23" s="58">
        <f>SUM(Z18:Z22)</f>
        <v>22680</v>
      </c>
      <c r="AA23" s="58">
        <f>IF(N23&gt;0,Z23/N23,0)</f>
        <v>210</v>
      </c>
      <c r="AB23" s="58">
        <f>Z23/$L$5</f>
        <v>185.90163934426229</v>
      </c>
      <c r="AC23" s="60"/>
      <c r="AD23" s="21"/>
      <c r="AG23" s="1">
        <v>8</v>
      </c>
      <c r="AH23" s="1" t="str">
        <f>I62</f>
        <v>. &lt;-- onderzijde (gespiegelde weergave)</v>
      </c>
      <c r="AI23" s="1" t="str">
        <f t="shared" si="7"/>
        <v>. &lt;-- onderzijde (gespiegelde weergave)</v>
      </c>
      <c r="AJ23" s="13">
        <f>AB68</f>
        <v>0</v>
      </c>
      <c r="AK23" s="13"/>
    </row>
    <row r="24" spans="1:37" x14ac:dyDescent="0.25">
      <c r="A24" s="1">
        <v>121</v>
      </c>
      <c r="B24" s="1" t="s">
        <v>18</v>
      </c>
      <c r="D24" s="21"/>
      <c r="E24" s="21"/>
      <c r="F24" s="21"/>
      <c r="H24" s="60"/>
      <c r="I24" s="61"/>
      <c r="J24" s="62"/>
      <c r="K24" s="63"/>
      <c r="L24" s="62"/>
      <c r="M24" s="3"/>
      <c r="N24" s="2"/>
      <c r="O24" s="63"/>
      <c r="P24" s="3"/>
      <c r="Q24" s="3"/>
      <c r="R24" s="63"/>
      <c r="S24" s="63"/>
      <c r="T24" s="3"/>
      <c r="U24" s="3"/>
      <c r="V24" s="11"/>
      <c r="W24" s="3"/>
      <c r="X24" s="3"/>
      <c r="Y24" s="36"/>
      <c r="Z24" s="9"/>
      <c r="AA24" s="9"/>
      <c r="AB24" s="9"/>
      <c r="AC24" s="60"/>
      <c r="AD24" s="21"/>
      <c r="AJ24" s="13"/>
      <c r="AK24" s="13"/>
    </row>
    <row r="25" spans="1:37" ht="14.45" customHeight="1" x14ac:dyDescent="0.25">
      <c r="A25" s="1">
        <v>122</v>
      </c>
      <c r="B25" s="1" t="s">
        <v>19</v>
      </c>
      <c r="D25" s="21"/>
      <c r="E25" s="151" t="s">
        <v>135</v>
      </c>
      <c r="F25" s="21"/>
      <c r="H25" s="55"/>
      <c r="I25" s="50" t="s">
        <v>195</v>
      </c>
      <c r="J25" s="51"/>
      <c r="K25" s="51"/>
      <c r="L25" s="51"/>
      <c r="M25" s="51"/>
      <c r="N25" s="51"/>
      <c r="O25" s="49"/>
      <c r="P25" s="49"/>
      <c r="Q25" s="49"/>
      <c r="R25" s="145">
        <v>1</v>
      </c>
      <c r="S25" s="146"/>
      <c r="T25" s="49"/>
      <c r="U25" s="49"/>
      <c r="V25" s="49"/>
      <c r="W25" s="49"/>
      <c r="X25" s="49"/>
      <c r="Y25" s="134" t="str">
        <f>I25</f>
        <v>kalkzandsteenwanden woningscheidend</v>
      </c>
      <c r="Z25" s="72">
        <f>Z31+Z38</f>
        <v>20632.5</v>
      </c>
      <c r="AA25" s="72">
        <f>AA31+AA38</f>
        <v>165.06</v>
      </c>
      <c r="AB25" s="72">
        <f>AB31+AB38</f>
        <v>169.11885245901638</v>
      </c>
      <c r="AC25" s="60"/>
      <c r="AD25" s="21"/>
      <c r="AG25" s="1">
        <v>9</v>
      </c>
      <c r="AH25" s="1" t="str">
        <f>I70</f>
        <v>.</v>
      </c>
      <c r="AI25" s="1" t="str">
        <f t="shared" si="7"/>
        <v>.</v>
      </c>
      <c r="AJ25" s="13">
        <f>AB76</f>
        <v>0</v>
      </c>
      <c r="AK25" s="13"/>
    </row>
    <row r="26" spans="1:37" x14ac:dyDescent="0.25">
      <c r="A26" s="1">
        <v>123</v>
      </c>
      <c r="B26" s="1" t="s">
        <v>20</v>
      </c>
      <c r="D26" s="21"/>
      <c r="E26" s="151"/>
      <c r="F26" s="21"/>
      <c r="H26" s="67">
        <v>202</v>
      </c>
      <c r="I26" s="135" t="str" cm="1">
        <f t="array" ref="I26">_xlfn.XLOOKUP(H26,MateriaalDatabank!$A$1:A315,MateriaalDatabank!$B$1:B315,0.0000001)</f>
        <v>Gipspleister</v>
      </c>
      <c r="J26" s="135" cm="1">
        <f t="array" ref="J26">_xlfn.XLOOKUP(I26,MateriaalDatabank!$B$1:B315,MateriaalDatabank!$C$1:C315,0.0000001)</f>
        <v>0.52</v>
      </c>
      <c r="K26" s="135" cm="1">
        <f t="array" ref="K26">_xlfn.XLOOKUP(I26,MateriaalDatabank!$B$1:B315,MateriaalDatabank!$D$1:D315,0.0000001)</f>
        <v>1300</v>
      </c>
      <c r="L26" s="135" cm="1">
        <f t="array" ref="L26">_xlfn.XLOOKUP(I26,MateriaalDatabank!$B$1:B315,MateriaalDatabank!$E$1:E315,0.0000001)</f>
        <v>840</v>
      </c>
      <c r="M26" s="128">
        <v>5.0000000000000001E-3</v>
      </c>
      <c r="N26" s="130">
        <f>10*2.5*2.5*2</f>
        <v>125</v>
      </c>
      <c r="O26" s="36">
        <f>Q26</f>
        <v>9.6153846153846159E-3</v>
      </c>
      <c r="P26" s="36">
        <f>IF(S26&gt;0,S26*M26,0)</f>
        <v>5.0000000000000001E-3</v>
      </c>
      <c r="Q26" s="36">
        <f>IF(M26&gt;0,M26/J26,0)</f>
        <v>9.6153846153846159E-3</v>
      </c>
      <c r="R26" s="37">
        <f>IF(O26&gt;0.25,0,1)</f>
        <v>1</v>
      </c>
      <c r="S26" s="38">
        <f>IF((R26+R25)=1,((0.25-O25)*J26)/M26,R26)</f>
        <v>1</v>
      </c>
      <c r="T26" s="40">
        <f>IF(S26*M26&gt;0.1,0.1,S26*M26)</f>
        <v>5.0000000000000001E-3</v>
      </c>
      <c r="U26" s="40">
        <f>M26/M31</f>
        <v>3.2258064516129024E-2</v>
      </c>
      <c r="V26" s="41">
        <f>IF(U26&lt;(0.5),1,0)</f>
        <v>1</v>
      </c>
      <c r="W26" s="41">
        <f>IF(V26+V25=0,0.5*M31,M26*V26)</f>
        <v>5.0000000000000001E-3</v>
      </c>
      <c r="X26" s="40">
        <f>IF(J26&gt;0,T26/J26,0)</f>
        <v>9.6153846153846159E-3</v>
      </c>
      <c r="Y26" s="40">
        <f>MIN(W26,T26)</f>
        <v>5.0000000000000001E-3</v>
      </c>
      <c r="Z26" s="44">
        <f>N26*K26*L26*T26/1000</f>
        <v>682.5</v>
      </c>
      <c r="AA26" s="44">
        <f>IF(N26&gt;0,Z26/N26,0)</f>
        <v>5.46</v>
      </c>
      <c r="AB26" s="45"/>
      <c r="AC26" s="60"/>
      <c r="AD26" s="21"/>
      <c r="AG26" s="1">
        <v>10</v>
      </c>
      <c r="AH26" s="1" t="str">
        <f>I77</f>
        <v>. &lt;-- onderzijde (gespiegelde weergave)</v>
      </c>
      <c r="AI26" s="1" t="str">
        <f t="shared" si="7"/>
        <v>. &lt;-- onderzijde (gespiegelde weergave)</v>
      </c>
      <c r="AJ26" s="13">
        <f>AB83</f>
        <v>0</v>
      </c>
      <c r="AK26" s="13"/>
    </row>
    <row r="27" spans="1:37" x14ac:dyDescent="0.25">
      <c r="A27" s="1">
        <v>124</v>
      </c>
      <c r="B27" s="1" t="s">
        <v>21</v>
      </c>
      <c r="D27" s="21"/>
      <c r="E27" s="151"/>
      <c r="F27" s="21"/>
      <c r="H27" s="67">
        <v>124</v>
      </c>
      <c r="I27" s="135" t="str" cm="1">
        <f t="array" ref="I27">_xlfn.XLOOKUP(H27,MateriaalDatabank!$A$1:A316,MateriaalDatabank!$B$1:B316,0.0000001)</f>
        <v>kalkzandsteen</v>
      </c>
      <c r="J27" s="135" cm="1">
        <f t="array" ref="J27">_xlfn.XLOOKUP(I27,MateriaalDatabank!$B$1:B316,MateriaalDatabank!$C$1:C316,0.0000001)</f>
        <v>1</v>
      </c>
      <c r="K27" s="135" cm="1">
        <f t="array" ref="K27">_xlfn.XLOOKUP(I27,MateriaalDatabank!$B$1:B316,MateriaalDatabank!$D$1:D316,0.0000001)</f>
        <v>2000</v>
      </c>
      <c r="L27" s="135" cm="1">
        <f t="array" ref="L27">_xlfn.XLOOKUP(I27,MateriaalDatabank!$B$1:B316,MateriaalDatabank!$E$1:E316,0.0000001)</f>
        <v>840</v>
      </c>
      <c r="M27" s="129">
        <v>0.1</v>
      </c>
      <c r="N27" s="136">
        <f>N26</f>
        <v>125</v>
      </c>
      <c r="O27" s="3">
        <f>O26+Q27</f>
        <v>0.10961538461538461</v>
      </c>
      <c r="P27" s="3">
        <f t="shared" ref="P27:P30" si="20">IF(S27&gt;0,S27*M27,0)</f>
        <v>0.1</v>
      </c>
      <c r="Q27" s="3">
        <f>IF(M27&gt;0,M27/J27,0)</f>
        <v>0.1</v>
      </c>
      <c r="R27" s="10">
        <f>IF(O27&gt;0.25,0,1)</f>
        <v>1</v>
      </c>
      <c r="S27" s="11">
        <f t="shared" ref="S27:S30" si="21">IF((R27+R26)=1,((0.25-O26)*J27)/M27,R27)</f>
        <v>1</v>
      </c>
      <c r="T27" s="42">
        <f>IF(S27*M27&gt;0.1-T26,0.1-T26,S27*M27)</f>
        <v>9.5000000000000001E-2</v>
      </c>
      <c r="U27" s="42">
        <f>(M26+M27)/M31</f>
        <v>0.67741935483870963</v>
      </c>
      <c r="V27" s="43">
        <f>IF(U27&lt;(0.5),1,0)</f>
        <v>0</v>
      </c>
      <c r="W27" s="43">
        <f>IF(V27+V26=1,0.5*M31-M26,M27*V27)</f>
        <v>7.2500000000000009E-2</v>
      </c>
      <c r="X27" s="42">
        <f t="shared" ref="X27:X30" si="22">IF(J27&gt;0,T27/J27,0)</f>
        <v>9.5000000000000001E-2</v>
      </c>
      <c r="Y27" s="42">
        <f>MIN(W27,T27)</f>
        <v>7.2500000000000009E-2</v>
      </c>
      <c r="Z27" s="46">
        <f>N27*K27*L27*T27/1000</f>
        <v>19950</v>
      </c>
      <c r="AA27" s="46">
        <f t="shared" ref="AA27:AA30" si="23">IF(N27&gt;0,Z27/N27,0)</f>
        <v>159.6</v>
      </c>
      <c r="AB27" s="47"/>
      <c r="AC27" s="60"/>
      <c r="AD27" s="21"/>
      <c r="AG27" s="1">
        <v>11</v>
      </c>
      <c r="AH27" s="1" t="str">
        <f>I85</f>
        <v>.</v>
      </c>
      <c r="AI27" s="1" t="str">
        <f t="shared" si="7"/>
        <v>.</v>
      </c>
      <c r="AJ27" s="13">
        <f>AB91</f>
        <v>0</v>
      </c>
      <c r="AK27" s="13"/>
    </row>
    <row r="28" spans="1:37" x14ac:dyDescent="0.25">
      <c r="D28" s="21"/>
      <c r="E28" s="151"/>
      <c r="F28" s="21"/>
      <c r="H28" s="67">
        <v>193</v>
      </c>
      <c r="I28" s="135" t="str" cm="1">
        <f t="array" ref="I28">_xlfn.XLOOKUP(H28,MateriaalDatabank!$A$1:A317,MateriaalDatabank!$B$1:B317,0.0000001)</f>
        <v>MineraleWol-35kg/m3</v>
      </c>
      <c r="J28" s="135" cm="1">
        <f t="array" ref="J28">_xlfn.XLOOKUP(I28,MateriaalDatabank!$B$1:B317,MateriaalDatabank!$C$1:C317,0.0000001)</f>
        <v>3.5000000000000003E-2</v>
      </c>
      <c r="K28" s="135" cm="1">
        <f t="array" ref="K28">_xlfn.XLOOKUP(I28,MateriaalDatabank!$B$1:B317,MateriaalDatabank!$D$1:D317,0.0000001)</f>
        <v>35</v>
      </c>
      <c r="L28" s="135" cm="1">
        <f t="array" ref="L28">_xlfn.XLOOKUP(I28,MateriaalDatabank!$B$1:B317,MateriaalDatabank!$E$1:E317,0.0000001)</f>
        <v>840</v>
      </c>
      <c r="M28" s="129">
        <v>0.05</v>
      </c>
      <c r="N28" s="136">
        <f>N27</f>
        <v>125</v>
      </c>
      <c r="O28" s="3">
        <f>O27+Q28</f>
        <v>1.5381868131868133</v>
      </c>
      <c r="P28" s="3">
        <f t="shared" si="20"/>
        <v>4.9134615384615393E-3</v>
      </c>
      <c r="Q28" s="3">
        <f t="shared" ref="Q28:Q30" si="24">IF(M28&gt;0,M28/J28,0)</f>
        <v>1.4285714285714286</v>
      </c>
      <c r="R28" s="10">
        <f>IF(O28&gt;0.25,0,1)</f>
        <v>0</v>
      </c>
      <c r="S28" s="11">
        <f t="shared" si="21"/>
        <v>9.8269230769230775E-2</v>
      </c>
      <c r="T28" s="42">
        <f>IF(S28*M28&gt;0.1-T27-T26,0.1-T27-T26,S28*M28)</f>
        <v>4.3368086899420177E-18</v>
      </c>
      <c r="U28" s="42">
        <f>(M26+M27+M28)/M31</f>
        <v>1</v>
      </c>
      <c r="V28" s="43">
        <f>IF(U28&lt;(0.5),1,0)</f>
        <v>0</v>
      </c>
      <c r="W28" s="43">
        <f>IF(V28+V27=1,0.5*M31-M27-M26,M28*V28)</f>
        <v>0</v>
      </c>
      <c r="X28" s="42">
        <f t="shared" si="22"/>
        <v>1.2390881971262906E-16</v>
      </c>
      <c r="Y28" s="42">
        <f t="shared" ref="Y28:Y30" si="25">MIN(W28,T28)</f>
        <v>0</v>
      </c>
      <c r="Z28" s="46">
        <f>N28*K28*L28*T28/1000</f>
        <v>1.5937771935536915E-14</v>
      </c>
      <c r="AA28" s="46">
        <f t="shared" si="23"/>
        <v>1.2750217548429532E-16</v>
      </c>
      <c r="AB28" s="47"/>
      <c r="AC28" s="60"/>
      <c r="AD28" s="21"/>
      <c r="AG28" s="1">
        <v>12</v>
      </c>
      <c r="AH28" s="1" t="str">
        <f>I92</f>
        <v>. &lt;-- onderzijde (gespiegelde weergave)</v>
      </c>
      <c r="AI28" s="1" t="str">
        <f t="shared" si="7"/>
        <v>. &lt;-- onderzijde (gespiegelde weergave)</v>
      </c>
      <c r="AJ28" s="13">
        <f>AB98</f>
        <v>0</v>
      </c>
      <c r="AK28" s="13"/>
    </row>
    <row r="29" spans="1:37" x14ac:dyDescent="0.25">
      <c r="A29" s="73" t="s">
        <v>146</v>
      </c>
      <c r="B29" s="73"/>
      <c r="D29" s="21"/>
      <c r="E29" s="151"/>
      <c r="F29" s="21"/>
      <c r="H29" s="67"/>
      <c r="I29" s="135" cm="1">
        <f t="array" ref="I29">_xlfn.XLOOKUP(H29,MateriaalDatabank!$A$1:A318,MateriaalDatabank!$B$1:B318,0.0000001)</f>
        <v>0</v>
      </c>
      <c r="J29" s="135" cm="1">
        <f t="array" ref="J29">_xlfn.XLOOKUP(I29,MateriaalDatabank!$B$1:B318,MateriaalDatabank!$C$1:C318,0.0000001)</f>
        <v>9.9999999999999995E-8</v>
      </c>
      <c r="K29" s="135" cm="1">
        <f t="array" ref="K29">_xlfn.XLOOKUP(I29,MateriaalDatabank!$B$1:B318,MateriaalDatabank!$D$1:D318,0.0000001)</f>
        <v>9.9999999999999995E-8</v>
      </c>
      <c r="L29" s="135" cm="1">
        <f t="array" ref="L29">_xlfn.XLOOKUP(I29,MateriaalDatabank!$B$1:B318,MateriaalDatabank!$E$1:E318,0.0000001)</f>
        <v>9.9999999999999995E-8</v>
      </c>
      <c r="M29" s="129"/>
      <c r="N29" s="136">
        <f t="shared" ref="N29:N30" si="26">N28</f>
        <v>125</v>
      </c>
      <c r="O29" s="3">
        <f>O28+Q29</f>
        <v>1.5381868131868133</v>
      </c>
      <c r="P29" s="3">
        <f t="shared" si="20"/>
        <v>0</v>
      </c>
      <c r="Q29" s="3">
        <f t="shared" si="24"/>
        <v>0</v>
      </c>
      <c r="R29" s="10">
        <f>IF(O29&gt;0.25,0,1)</f>
        <v>0</v>
      </c>
      <c r="S29" s="11">
        <f t="shared" si="21"/>
        <v>0</v>
      </c>
      <c r="T29" s="42">
        <f>IF(S29*M29&gt;0.1-T28-T27-T26,0.1-T28-T27-T26,S29*M29)</f>
        <v>0</v>
      </c>
      <c r="U29" s="42">
        <f>(M26+M27+M28+M29)/M31</f>
        <v>1</v>
      </c>
      <c r="V29" s="43">
        <f>IF(U29&lt;(0.5),1,0)</f>
        <v>0</v>
      </c>
      <c r="W29" s="43">
        <f>IF(V29+V28=1,0.5*M31-M28-M27-M26,M29*V29)</f>
        <v>0</v>
      </c>
      <c r="X29" s="42">
        <f t="shared" si="22"/>
        <v>0</v>
      </c>
      <c r="Y29" s="42">
        <f t="shared" si="25"/>
        <v>0</v>
      </c>
      <c r="Z29" s="46">
        <f>N29*K29*L29*T29/1000</f>
        <v>0</v>
      </c>
      <c r="AA29" s="46">
        <f t="shared" si="23"/>
        <v>0</v>
      </c>
      <c r="AB29" s="47"/>
      <c r="AC29" s="60"/>
      <c r="AD29" s="21"/>
      <c r="AK29" s="13"/>
    </row>
    <row r="30" spans="1:37" x14ac:dyDescent="0.25">
      <c r="A30" s="1">
        <v>130</v>
      </c>
      <c r="B30" s="1" t="s">
        <v>23</v>
      </c>
      <c r="D30" s="21"/>
      <c r="E30" s="151"/>
      <c r="F30" s="21"/>
      <c r="H30" s="67"/>
      <c r="I30" s="135" cm="1">
        <f t="array" ref="I30">_xlfn.XLOOKUP(H30,MateriaalDatabank!$A$1:A319,MateriaalDatabank!$B$1:B319,0.0000001)</f>
        <v>0</v>
      </c>
      <c r="J30" s="135" cm="1">
        <f t="array" ref="J30">_xlfn.XLOOKUP(I30,MateriaalDatabank!$B$1:B319,MateriaalDatabank!$C$1:C319,0.0000001)</f>
        <v>9.9999999999999995E-8</v>
      </c>
      <c r="K30" s="135" cm="1">
        <f t="array" ref="K30">_xlfn.XLOOKUP(I30,MateriaalDatabank!$B$1:B319,MateriaalDatabank!$D$1:D319,0.0000001)</f>
        <v>9.9999999999999995E-8</v>
      </c>
      <c r="L30" s="135" cm="1">
        <f t="array" ref="L30">_xlfn.XLOOKUP(I30,MateriaalDatabank!$B$1:B319,MateriaalDatabank!$E$1:E319,0.0000001)</f>
        <v>9.9999999999999995E-8</v>
      </c>
      <c r="M30" s="129"/>
      <c r="N30" s="136">
        <f t="shared" si="26"/>
        <v>125</v>
      </c>
      <c r="O30" s="3">
        <f>O29+Q30</f>
        <v>1.5381868131868133</v>
      </c>
      <c r="P30" s="3">
        <f t="shared" si="20"/>
        <v>0</v>
      </c>
      <c r="Q30" s="3">
        <f t="shared" si="24"/>
        <v>0</v>
      </c>
      <c r="R30" s="10">
        <f>IF(O30&gt;0.25,0,1)</f>
        <v>0</v>
      </c>
      <c r="S30" s="11">
        <f t="shared" si="21"/>
        <v>0</v>
      </c>
      <c r="T30" s="42">
        <f>IF(S30*M30&gt;0.1-T29-T28-T27-T26,0.1-T29-T28-T27-T26,S30*M30)</f>
        <v>0</v>
      </c>
      <c r="U30" s="42">
        <f>(M26+M27+M28+M29+M30)/M31</f>
        <v>1</v>
      </c>
      <c r="V30" s="43">
        <f>IF(U30&lt;(0.5),1,0)</f>
        <v>0</v>
      </c>
      <c r="W30" s="43">
        <f>IF(V30+V29=1,0.5*M31-M29-M28-M27-M26,M30*V30)</f>
        <v>0</v>
      </c>
      <c r="X30" s="42">
        <f t="shared" si="22"/>
        <v>0</v>
      </c>
      <c r="Y30" s="42">
        <f t="shared" si="25"/>
        <v>0</v>
      </c>
      <c r="Z30" s="46">
        <f>N30*K30*L30*T30/1000</f>
        <v>0</v>
      </c>
      <c r="AA30" s="46">
        <f t="shared" si="23"/>
        <v>0</v>
      </c>
      <c r="AB30" s="47"/>
      <c r="AC30" s="60"/>
      <c r="AD30" s="21"/>
      <c r="AK30" s="13"/>
    </row>
    <row r="31" spans="1:37" x14ac:dyDescent="0.25">
      <c r="A31" s="1">
        <v>131</v>
      </c>
      <c r="B31" s="1" t="s">
        <v>24</v>
      </c>
      <c r="D31" s="21"/>
      <c r="E31" s="18"/>
      <c r="F31" s="21"/>
      <c r="H31" s="55"/>
      <c r="I31" s="55"/>
      <c r="J31" s="56"/>
      <c r="K31" s="57"/>
      <c r="L31" s="56"/>
      <c r="M31" s="137">
        <f>SUM(M26:M30)+0.00000000000000001</f>
        <v>0.15500000000000003</v>
      </c>
      <c r="N31" s="49">
        <f>N26</f>
        <v>125</v>
      </c>
      <c r="O31" s="57"/>
      <c r="P31" s="137">
        <f>SUM(P26:P30)</f>
        <v>0.10991346153846154</v>
      </c>
      <c r="Q31" s="137">
        <f>SUM(Q26:Q30)</f>
        <v>1.5381868131868133</v>
      </c>
      <c r="R31" s="57"/>
      <c r="S31" s="57"/>
      <c r="T31" s="137">
        <f>SUM(T26:T30)</f>
        <v>0.1</v>
      </c>
      <c r="U31" s="137"/>
      <c r="V31" s="138">
        <f>W31/M31</f>
        <v>0.5</v>
      </c>
      <c r="W31" s="137">
        <f>SUM(W26:W30)</f>
        <v>7.7500000000000013E-2</v>
      </c>
      <c r="X31" s="137">
        <f>SUM(X26:X30)</f>
        <v>0.10461538461538473</v>
      </c>
      <c r="Y31" s="137"/>
      <c r="Z31" s="58">
        <f>SUM(Z26:Z30)</f>
        <v>20632.5</v>
      </c>
      <c r="AA31" s="58">
        <f>IF(N31&gt;0,Z31/N31,0)</f>
        <v>165.06</v>
      </c>
      <c r="AB31" s="58">
        <f>Z31/$L$5</f>
        <v>169.11885245901638</v>
      </c>
      <c r="AC31" s="60"/>
      <c r="AD31" s="21"/>
    </row>
    <row r="32" spans="1:37" ht="14.45" customHeight="1" x14ac:dyDescent="0.25">
      <c r="A32" s="1">
        <v>132</v>
      </c>
      <c r="B32" s="1" t="s">
        <v>25</v>
      </c>
      <c r="D32" s="21"/>
      <c r="E32" s="151" t="s">
        <v>136</v>
      </c>
      <c r="F32" s="83" t="s">
        <v>163</v>
      </c>
      <c r="H32" s="68">
        <v>0</v>
      </c>
      <c r="I32" s="52" t="str">
        <f>I25 &amp; " &lt;-- onderzijde (gespiegelde weergave)"</f>
        <v>kalkzandsteenwanden woningscheidend &lt;-- onderzijde (gespiegelde weergave)</v>
      </c>
      <c r="J32" s="53"/>
      <c r="K32" s="53"/>
      <c r="L32" s="53"/>
      <c r="M32" s="53"/>
      <c r="N32" s="54"/>
      <c r="O32" s="2"/>
      <c r="P32" s="2"/>
      <c r="Q32" s="2"/>
      <c r="R32" s="139">
        <v>1</v>
      </c>
      <c r="S32" s="10"/>
      <c r="T32" s="42"/>
      <c r="U32" s="42"/>
      <c r="V32" s="43"/>
      <c r="W32" s="43"/>
      <c r="X32" s="42"/>
      <c r="Y32" s="42"/>
      <c r="Z32" s="48"/>
      <c r="AA32" s="48"/>
      <c r="AB32" s="48"/>
      <c r="AC32" s="60"/>
      <c r="AD32" s="21"/>
    </row>
    <row r="33" spans="1:30" x14ac:dyDescent="0.25">
      <c r="A33" s="1">
        <v>133</v>
      </c>
      <c r="B33" s="1" t="s">
        <v>26</v>
      </c>
      <c r="D33" s="21"/>
      <c r="E33" s="151"/>
      <c r="F33" s="21"/>
      <c r="H33" s="53"/>
      <c r="I33" s="140">
        <f>I30</f>
        <v>0</v>
      </c>
      <c r="J33" s="141">
        <f t="shared" ref="J33:M33" si="27">J30</f>
        <v>9.9999999999999995E-8</v>
      </c>
      <c r="K33" s="141">
        <f t="shared" si="27"/>
        <v>9.9999999999999995E-8</v>
      </c>
      <c r="L33" s="141">
        <f t="shared" si="27"/>
        <v>9.9999999999999995E-8</v>
      </c>
      <c r="M33" s="142">
        <f t="shared" si="27"/>
        <v>0</v>
      </c>
      <c r="N33" s="143">
        <f>N26*$H$32</f>
        <v>0</v>
      </c>
      <c r="O33" s="3">
        <f>Q33</f>
        <v>0</v>
      </c>
      <c r="P33" s="3">
        <f>IF(S33&gt;0,S33*M33,0)</f>
        <v>0</v>
      </c>
      <c r="Q33" s="3">
        <f>IF(M33&gt;0,M33/J33,0)</f>
        <v>0</v>
      </c>
      <c r="R33" s="10">
        <f>IF(O33&gt;0.25,0,1)</f>
        <v>1</v>
      </c>
      <c r="S33" s="11">
        <f>IF((R33+R32)=1,((0.25-O32)*J33)/M33,R33)</f>
        <v>1</v>
      </c>
      <c r="T33" s="42">
        <f>IF(S33*M33&gt;0.1,0.1,S33*M33)</f>
        <v>0</v>
      </c>
      <c r="U33" s="42">
        <f>M33/M38</f>
        <v>0</v>
      </c>
      <c r="V33" s="43">
        <f>IF(U33&lt;(0.5),1,0)</f>
        <v>1</v>
      </c>
      <c r="W33" s="41">
        <f>IF(V33+V32=0,0.5*M38,M33*V33)</f>
        <v>0</v>
      </c>
      <c r="X33" s="42">
        <f>IF(J33&gt;0,T33/J33,0)</f>
        <v>0</v>
      </c>
      <c r="Y33" s="42">
        <f>MIN(W33,T33)</f>
        <v>0</v>
      </c>
      <c r="Z33" s="46">
        <f>N33*K33*L33*T33/1000</f>
        <v>0</v>
      </c>
      <c r="AA33" s="46">
        <f>IF(N33&gt;0,Z33/N33,0)</f>
        <v>0</v>
      </c>
      <c r="AB33" s="47"/>
      <c r="AC33" s="60"/>
      <c r="AD33" s="21"/>
    </row>
    <row r="34" spans="1:30" x14ac:dyDescent="0.25">
      <c r="D34" s="21"/>
      <c r="E34" s="151"/>
      <c r="F34" s="21"/>
      <c r="H34" s="144"/>
      <c r="I34" s="140">
        <f>I29</f>
        <v>0</v>
      </c>
      <c r="J34" s="141">
        <f t="shared" ref="J34:M34" si="28">J29</f>
        <v>9.9999999999999995E-8</v>
      </c>
      <c r="K34" s="141">
        <f t="shared" si="28"/>
        <v>9.9999999999999995E-8</v>
      </c>
      <c r="L34" s="141">
        <f t="shared" si="28"/>
        <v>9.9999999999999995E-8</v>
      </c>
      <c r="M34" s="142">
        <f t="shared" si="28"/>
        <v>0</v>
      </c>
      <c r="N34" s="143">
        <f t="shared" ref="N34:N37" si="29">N27*$H$32</f>
        <v>0</v>
      </c>
      <c r="O34" s="3">
        <f>O33+Q34</f>
        <v>0</v>
      </c>
      <c r="P34" s="3">
        <f t="shared" ref="P34:P37" si="30">IF(S34&gt;0,S34*M34,0)</f>
        <v>0</v>
      </c>
      <c r="Q34" s="3">
        <f>IF(M34&gt;0,M34/J34,0)</f>
        <v>0</v>
      </c>
      <c r="R34" s="10">
        <f>IF(O34&gt;0.25,0,1)</f>
        <v>1</v>
      </c>
      <c r="S34" s="11">
        <f t="shared" ref="S34:S37" si="31">IF((R34+R33)=1,((0.25-O33)*J34)/M34,R34)</f>
        <v>1</v>
      </c>
      <c r="T34" s="42">
        <f>IF(S34*M34&gt;0.1-T33,0.1-T33,S34*M34)</f>
        <v>0</v>
      </c>
      <c r="U34" s="42">
        <f>(M33+M34)/M38</f>
        <v>0</v>
      </c>
      <c r="V34" s="43">
        <f>IF(U34&lt;(0.5),1,0)</f>
        <v>1</v>
      </c>
      <c r="W34" s="43">
        <f>IF(V34+V33=1,0.5*M38-M33,M34*V34)</f>
        <v>0</v>
      </c>
      <c r="X34" s="42">
        <f t="shared" ref="X34:X37" si="32">IF(J34&gt;0,T34/J34,0)</f>
        <v>0</v>
      </c>
      <c r="Y34" s="42">
        <f>MIN(W34,T34)</f>
        <v>0</v>
      </c>
      <c r="Z34" s="46">
        <f>N34*K34*L34*T34/1000</f>
        <v>0</v>
      </c>
      <c r="AA34" s="46">
        <f t="shared" ref="AA34:AA37" si="33">IF(N34&gt;0,Z34/N34,0)</f>
        <v>0</v>
      </c>
      <c r="AB34" s="47"/>
      <c r="AC34" s="60"/>
      <c r="AD34" s="21"/>
    </row>
    <row r="35" spans="1:30" x14ac:dyDescent="0.25">
      <c r="A35" s="73" t="s">
        <v>147</v>
      </c>
      <c r="B35" s="73"/>
      <c r="D35" s="21"/>
      <c r="E35" s="151"/>
      <c r="F35" s="21"/>
      <c r="H35" s="144"/>
      <c r="I35" s="140" t="str">
        <f>I28</f>
        <v>MineraleWol-35kg/m3</v>
      </c>
      <c r="J35" s="141">
        <f t="shared" ref="J35:M35" si="34">J28</f>
        <v>3.5000000000000003E-2</v>
      </c>
      <c r="K35" s="141">
        <f t="shared" si="34"/>
        <v>35</v>
      </c>
      <c r="L35" s="141">
        <f t="shared" si="34"/>
        <v>840</v>
      </c>
      <c r="M35" s="142">
        <f t="shared" si="34"/>
        <v>0.05</v>
      </c>
      <c r="N35" s="143">
        <f t="shared" si="29"/>
        <v>0</v>
      </c>
      <c r="O35" s="3">
        <f>O34+Q35</f>
        <v>1.4285714285714286</v>
      </c>
      <c r="P35" s="3">
        <f t="shared" si="30"/>
        <v>8.7500000000000008E-3</v>
      </c>
      <c r="Q35" s="3">
        <f t="shared" ref="Q35:Q37" si="35">IF(M35&gt;0,M35/J35,0)</f>
        <v>1.4285714285714286</v>
      </c>
      <c r="R35" s="10">
        <f>IF(O35&gt;0.25,0,1)</f>
        <v>0</v>
      </c>
      <c r="S35" s="11">
        <f t="shared" si="31"/>
        <v>0.17500000000000002</v>
      </c>
      <c r="T35" s="42">
        <f>IF(S35*M35&gt;0.1-T34-T33,0.1-T34-T33,S35*M35)</f>
        <v>8.7500000000000008E-3</v>
      </c>
      <c r="U35" s="42">
        <f>(M33+M34+M35)/M38</f>
        <v>0.32258064516129026</v>
      </c>
      <c r="V35" s="43">
        <f>IF(U35&lt;(0.5),1,0)</f>
        <v>1</v>
      </c>
      <c r="W35" s="43">
        <f>IF(V35+V34=1,0.5*M38-M34-M33,M35*V35)</f>
        <v>0.05</v>
      </c>
      <c r="X35" s="42">
        <f t="shared" si="32"/>
        <v>0.25</v>
      </c>
      <c r="Y35" s="42">
        <f t="shared" ref="Y35:Y37" si="36">MIN(W35,T35)</f>
        <v>8.7500000000000008E-3</v>
      </c>
      <c r="Z35" s="46">
        <f>N35*K35*L35*T35/1000</f>
        <v>0</v>
      </c>
      <c r="AA35" s="46">
        <f t="shared" si="33"/>
        <v>0</v>
      </c>
      <c r="AB35" s="47"/>
      <c r="AC35" s="60"/>
      <c r="AD35" s="21"/>
    </row>
    <row r="36" spans="1:30" x14ac:dyDescent="0.25">
      <c r="A36" s="1">
        <v>140</v>
      </c>
      <c r="B36" s="1" t="s">
        <v>29</v>
      </c>
      <c r="D36" s="21"/>
      <c r="E36" s="151"/>
      <c r="F36" s="21"/>
      <c r="H36" s="144"/>
      <c r="I36" s="140" t="str">
        <f>I27</f>
        <v>kalkzandsteen</v>
      </c>
      <c r="J36" s="141">
        <f t="shared" ref="J36:M36" si="37">J27</f>
        <v>1</v>
      </c>
      <c r="K36" s="141">
        <f t="shared" si="37"/>
        <v>2000</v>
      </c>
      <c r="L36" s="141">
        <f t="shared" si="37"/>
        <v>840</v>
      </c>
      <c r="M36" s="142">
        <f t="shared" si="37"/>
        <v>0.1</v>
      </c>
      <c r="N36" s="143">
        <f t="shared" si="29"/>
        <v>0</v>
      </c>
      <c r="O36" s="3">
        <f>O35+Q36</f>
        <v>1.5285714285714287</v>
      </c>
      <c r="P36" s="3">
        <f t="shared" si="30"/>
        <v>0</v>
      </c>
      <c r="Q36" s="3">
        <f t="shared" si="35"/>
        <v>0.1</v>
      </c>
      <c r="R36" s="10">
        <f>IF(O36&gt;0.25,0,1)</f>
        <v>0</v>
      </c>
      <c r="S36" s="11">
        <f t="shared" si="31"/>
        <v>0</v>
      </c>
      <c r="T36" s="42">
        <f>IF(S36*M36&gt;0.1-T35-T34-T33,0.1-T35-T34-T33,S36*M36)</f>
        <v>0</v>
      </c>
      <c r="U36" s="42">
        <f>(M33+M34+M35+M36)/M38</f>
        <v>0.967741935483871</v>
      </c>
      <c r="V36" s="43">
        <f>IF(U36&lt;(0.5),1,0)</f>
        <v>0</v>
      </c>
      <c r="W36" s="43">
        <f>IF(V36+V35=1,0.5*M38-M35-M34-M33,M36*V36)</f>
        <v>2.7500000000000011E-2</v>
      </c>
      <c r="X36" s="42">
        <f t="shared" si="32"/>
        <v>0</v>
      </c>
      <c r="Y36" s="42">
        <f t="shared" si="36"/>
        <v>0</v>
      </c>
      <c r="Z36" s="46">
        <f>N36*K36*L36*T36/1000</f>
        <v>0</v>
      </c>
      <c r="AA36" s="46">
        <f t="shared" si="33"/>
        <v>0</v>
      </c>
      <c r="AB36" s="47"/>
      <c r="AC36" s="60"/>
      <c r="AD36" s="21"/>
    </row>
    <row r="37" spans="1:30" x14ac:dyDescent="0.25">
      <c r="A37" s="1">
        <v>141</v>
      </c>
      <c r="B37" s="1" t="s">
        <v>30</v>
      </c>
      <c r="D37" s="21"/>
      <c r="E37" s="151"/>
      <c r="F37" s="21"/>
      <c r="H37" s="144"/>
      <c r="I37" s="140" t="str">
        <f>I26</f>
        <v>Gipspleister</v>
      </c>
      <c r="J37" s="141">
        <f t="shared" ref="J37:M37" si="38">J26</f>
        <v>0.52</v>
      </c>
      <c r="K37" s="141">
        <f t="shared" si="38"/>
        <v>1300</v>
      </c>
      <c r="L37" s="141">
        <f t="shared" si="38"/>
        <v>840</v>
      </c>
      <c r="M37" s="142">
        <f t="shared" si="38"/>
        <v>5.0000000000000001E-3</v>
      </c>
      <c r="N37" s="143">
        <f t="shared" si="29"/>
        <v>0</v>
      </c>
      <c r="O37" s="3">
        <f>O36+Q37</f>
        <v>1.5381868131868133</v>
      </c>
      <c r="P37" s="3">
        <f t="shared" si="30"/>
        <v>0</v>
      </c>
      <c r="Q37" s="3">
        <f t="shared" si="35"/>
        <v>9.6153846153846159E-3</v>
      </c>
      <c r="R37" s="10">
        <f>IF(O37&gt;0.25,0,1)</f>
        <v>0</v>
      </c>
      <c r="S37" s="11">
        <f t="shared" si="31"/>
        <v>0</v>
      </c>
      <c r="T37" s="42">
        <f>IF(S37*M37&gt;0.1-T36-T35-T34-T33,0.1-T36-T35-T34-T33,S37*M37)</f>
        <v>0</v>
      </c>
      <c r="U37" s="42">
        <f>(M33+M34+M35+M36+M37)/M38</f>
        <v>1</v>
      </c>
      <c r="V37" s="43">
        <f>IF(U37&lt;(0.5),1,0)</f>
        <v>0</v>
      </c>
      <c r="W37" s="43">
        <f>IF(V37+V36=1,0.5*M38-M36-M35-M34-M33,M37*V37)</f>
        <v>0</v>
      </c>
      <c r="X37" s="42">
        <f t="shared" si="32"/>
        <v>0</v>
      </c>
      <c r="Y37" s="42">
        <f t="shared" si="36"/>
        <v>0</v>
      </c>
      <c r="Z37" s="46">
        <f>N37*K37*L37*T37/1000</f>
        <v>0</v>
      </c>
      <c r="AA37" s="46">
        <f t="shared" si="33"/>
        <v>0</v>
      </c>
      <c r="AB37" s="47"/>
      <c r="AC37" s="60"/>
      <c r="AD37" s="21"/>
    </row>
    <row r="38" spans="1:30" x14ac:dyDescent="0.25">
      <c r="A38" s="1">
        <v>142</v>
      </c>
      <c r="B38" s="1" t="s">
        <v>33</v>
      </c>
      <c r="D38" s="21"/>
      <c r="E38" s="21"/>
      <c r="F38" s="21"/>
      <c r="H38" s="55"/>
      <c r="I38" s="55"/>
      <c r="J38" s="56"/>
      <c r="K38" s="57"/>
      <c r="L38" s="56"/>
      <c r="M38" s="137">
        <f>SUM(M33:M37)+0.00000000000000001</f>
        <v>0.15500000000000003</v>
      </c>
      <c r="N38" s="49">
        <f>N33</f>
        <v>0</v>
      </c>
      <c r="O38" s="57"/>
      <c r="P38" s="137">
        <f>SUM(P33:P37)</f>
        <v>8.7500000000000008E-3</v>
      </c>
      <c r="Q38" s="137">
        <f>SUM(Q33:Q37)</f>
        <v>1.5381868131868133</v>
      </c>
      <c r="R38" s="57"/>
      <c r="S38" s="57"/>
      <c r="T38" s="137">
        <f>SUM(T33:T37)</f>
        <v>8.7500000000000008E-3</v>
      </c>
      <c r="U38" s="137"/>
      <c r="V38" s="138">
        <f>W38/M38</f>
        <v>0.5</v>
      </c>
      <c r="W38" s="137">
        <f>SUM(W33:W37)</f>
        <v>7.7500000000000013E-2</v>
      </c>
      <c r="X38" s="137">
        <f>SUM(X33:X37)</f>
        <v>0.25</v>
      </c>
      <c r="Y38" s="137"/>
      <c r="Z38" s="58">
        <f>SUM(Z33:Z37)</f>
        <v>0</v>
      </c>
      <c r="AA38" s="58">
        <f>IF(N38&gt;0,Z38/N38,0)</f>
        <v>0</v>
      </c>
      <c r="AB38" s="58">
        <f>Z38/$L$5</f>
        <v>0</v>
      </c>
      <c r="AC38" s="60"/>
      <c r="AD38" s="21"/>
    </row>
    <row r="39" spans="1:30" x14ac:dyDescent="0.25">
      <c r="A39" s="1">
        <v>143</v>
      </c>
      <c r="B39" s="1" t="s">
        <v>34</v>
      </c>
      <c r="D39" s="21"/>
      <c r="E39" s="21"/>
      <c r="F39" s="21"/>
      <c r="H39" s="60"/>
      <c r="I39" s="61"/>
      <c r="J39" s="62"/>
      <c r="K39" s="63"/>
      <c r="L39" s="62"/>
      <c r="M39" s="3"/>
      <c r="N39" s="2"/>
      <c r="O39" s="63"/>
      <c r="P39" s="3"/>
      <c r="Q39" s="3"/>
      <c r="R39" s="63"/>
      <c r="S39" s="63"/>
      <c r="T39" s="3"/>
      <c r="U39" s="3"/>
      <c r="V39" s="11"/>
      <c r="W39" s="3"/>
      <c r="X39" s="3"/>
      <c r="Y39" s="36"/>
      <c r="Z39" s="9"/>
      <c r="AA39" s="9"/>
      <c r="AB39" s="9"/>
      <c r="AC39" s="60"/>
      <c r="AD39" s="21"/>
    </row>
    <row r="40" spans="1:30" ht="14.45" customHeight="1" x14ac:dyDescent="0.25">
      <c r="A40" s="1">
        <v>144</v>
      </c>
      <c r="B40" s="1" t="s">
        <v>35</v>
      </c>
      <c r="D40" s="21"/>
      <c r="E40" s="151" t="s">
        <v>135</v>
      </c>
      <c r="F40" s="21"/>
      <c r="H40" s="55"/>
      <c r="I40" s="50" t="s">
        <v>194</v>
      </c>
      <c r="J40" s="51"/>
      <c r="K40" s="51"/>
      <c r="L40" s="51"/>
      <c r="M40" s="51"/>
      <c r="N40" s="51"/>
      <c r="O40" s="49"/>
      <c r="P40" s="49"/>
      <c r="Q40" s="49"/>
      <c r="R40" s="145">
        <v>1</v>
      </c>
      <c r="S40" s="146"/>
      <c r="T40" s="49"/>
      <c r="U40" s="49"/>
      <c r="V40" s="49"/>
      <c r="W40" s="49"/>
      <c r="X40" s="49"/>
      <c r="Y40" s="134" t="str">
        <f>I40</f>
        <v>betonvloer bg</v>
      </c>
      <c r="Z40" s="72">
        <f>Z46+Z53</f>
        <v>8096.7600000000011</v>
      </c>
      <c r="AA40" s="72">
        <f>AA46+AA53</f>
        <v>149.94000000000003</v>
      </c>
      <c r="AB40" s="72">
        <f>AB46+AB53</f>
        <v>66.366885245901642</v>
      </c>
      <c r="AC40" s="60"/>
      <c r="AD40" s="21"/>
    </row>
    <row r="41" spans="1:30" x14ac:dyDescent="0.25">
      <c r="A41" s="1">
        <v>145</v>
      </c>
      <c r="B41" s="1" t="s">
        <v>36</v>
      </c>
      <c r="D41" s="21"/>
      <c r="E41" s="151"/>
      <c r="F41" s="21"/>
      <c r="H41" s="67">
        <v>221</v>
      </c>
      <c r="I41" s="135" t="str" cm="1">
        <f t="array" ref="I41">_xlfn.XLOOKUP(H41,MateriaalDatabank!$A$1:A330,MateriaalDatabank!$B$1:B330,0.0000001)</f>
        <v>Linoleum</v>
      </c>
      <c r="J41" s="135" cm="1">
        <f t="array" ref="J41">_xlfn.XLOOKUP(I41,MateriaalDatabank!$B$1:B330,MateriaalDatabank!$C$1:C330,0.0000001)</f>
        <v>0.17</v>
      </c>
      <c r="K41" s="135" cm="1">
        <f t="array" ref="K41">_xlfn.XLOOKUP(I41,MateriaalDatabank!$B$1:B330,MateriaalDatabank!$D$1:D330,0.0000001)</f>
        <v>1200</v>
      </c>
      <c r="L41" s="135" cm="1">
        <f t="array" ref="L41">_xlfn.XLOOKUP(I41,MateriaalDatabank!$B$1:B330,MateriaalDatabank!$E$1:E330,0.0000001)</f>
        <v>1470</v>
      </c>
      <c r="M41" s="128">
        <v>5.0000000000000001E-3</v>
      </c>
      <c r="N41" s="130">
        <v>54</v>
      </c>
      <c r="O41" s="36">
        <f>Q41</f>
        <v>2.9411764705882353E-2</v>
      </c>
      <c r="P41" s="36">
        <f>IF(S41&gt;0,S41*M41,0)</f>
        <v>5.0000000000000001E-3</v>
      </c>
      <c r="Q41" s="36">
        <f>IF(M41&gt;0,M41/J41,0)</f>
        <v>2.9411764705882353E-2</v>
      </c>
      <c r="R41" s="37">
        <f>IF(O41&gt;0.25,0,1)</f>
        <v>1</v>
      </c>
      <c r="S41" s="38">
        <f>IF((R41+R40)=1,((0.25-O40)*J41)/M41,R41)</f>
        <v>1</v>
      </c>
      <c r="T41" s="40">
        <f>IF(S41*M41&gt;0.1,0.1,S41*M41)</f>
        <v>5.0000000000000001E-3</v>
      </c>
      <c r="U41" s="40">
        <f>M41/M46</f>
        <v>4.7619047619047609E-2</v>
      </c>
      <c r="V41" s="41">
        <f>IF(U41&lt;(0.5),1,0)</f>
        <v>1</v>
      </c>
      <c r="W41" s="41">
        <f>IF(V41+V40=0,0.5*M46,M41*V41)</f>
        <v>5.0000000000000001E-3</v>
      </c>
      <c r="X41" s="40">
        <f>IF(J41&gt;0,T41/J41,0)</f>
        <v>2.9411764705882353E-2</v>
      </c>
      <c r="Y41" s="40">
        <f>MIN(W41,T41)</f>
        <v>5.0000000000000001E-3</v>
      </c>
      <c r="Z41" s="44">
        <f>N41*K41*L41*T41/1000</f>
        <v>476.28</v>
      </c>
      <c r="AA41" s="44">
        <f>IF(N41&gt;0,Z41/N41,0)</f>
        <v>8.82</v>
      </c>
      <c r="AB41" s="45"/>
      <c r="AC41" s="60"/>
      <c r="AD41" s="21"/>
    </row>
    <row r="42" spans="1:30" x14ac:dyDescent="0.25">
      <c r="A42" s="1">
        <v>146</v>
      </c>
      <c r="B42" s="1" t="s">
        <v>37</v>
      </c>
      <c r="D42" s="21"/>
      <c r="E42" s="151"/>
      <c r="F42" s="21"/>
      <c r="H42" s="67">
        <v>250</v>
      </c>
      <c r="I42" s="135" t="str" cm="1">
        <f t="array" ref="I42">_xlfn.XLOOKUP(H42,MateriaalDatabank!$A$1:A331,MateriaalDatabank!$B$1:B331,0.0000001)</f>
        <v>(voorbeeld) anhydriet</v>
      </c>
      <c r="J42" s="135" cm="1">
        <f t="array" ref="J42">_xlfn.XLOOKUP(I42,MateriaalDatabank!$B$1:B331,MateriaalDatabank!$C$1:C331,0.0000001)</f>
        <v>1.2</v>
      </c>
      <c r="K42" s="135" cm="1">
        <f t="array" ref="K42">_xlfn.XLOOKUP(I42,MateriaalDatabank!$B$1:B331,MateriaalDatabank!$D$1:D331,0.0000001)</f>
        <v>1200</v>
      </c>
      <c r="L42" s="135" cm="1">
        <f t="array" ref="L42">_xlfn.XLOOKUP(I42,MateriaalDatabank!$B$1:B331,MateriaalDatabank!$E$1:E331,0.0000001)</f>
        <v>840</v>
      </c>
      <c r="M42" s="128">
        <v>0.05</v>
      </c>
      <c r="N42" s="136">
        <f>N41</f>
        <v>54</v>
      </c>
      <c r="O42" s="3">
        <f>O41+Q42</f>
        <v>7.1078431372549017E-2</v>
      </c>
      <c r="P42" s="3">
        <f t="shared" ref="P42:P45" si="39">IF(S42&gt;0,S42*M42,0)</f>
        <v>0.05</v>
      </c>
      <c r="Q42" s="3">
        <f>IF(M42&gt;0,M42/J42,0)</f>
        <v>4.1666666666666671E-2</v>
      </c>
      <c r="R42" s="10">
        <f>IF(O42&gt;0.25,0,1)</f>
        <v>1</v>
      </c>
      <c r="S42" s="11">
        <f t="shared" ref="S42:S45" si="40">IF((R42+R41)=1,((0.25-O41)*J42)/M42,R42)</f>
        <v>1</v>
      </c>
      <c r="T42" s="42">
        <f>IF(S42*M42&gt;0.1-T41,0.1-T41,S42*M42)</f>
        <v>0.05</v>
      </c>
      <c r="U42" s="42">
        <f>(M41+M42)/M46</f>
        <v>0.52380952380952372</v>
      </c>
      <c r="V42" s="43">
        <f>IF(U42&lt;(0.5),1,0)</f>
        <v>0</v>
      </c>
      <c r="W42" s="43">
        <f>IF(V42+V41=1,0.5*M46-M41,M42*V42)</f>
        <v>4.7500000000000014E-2</v>
      </c>
      <c r="X42" s="42">
        <f t="shared" ref="X42:X45" si="41">IF(J42&gt;0,T42/J42,0)</f>
        <v>4.1666666666666671E-2</v>
      </c>
      <c r="Y42" s="42">
        <f>MIN(W42,T42)</f>
        <v>4.7500000000000014E-2</v>
      </c>
      <c r="Z42" s="46">
        <f>N42*K42*L42*T42/1000</f>
        <v>2721.6</v>
      </c>
      <c r="AA42" s="46">
        <f t="shared" ref="AA42:AA45" si="42">IF(N42&gt;0,Z42/N42,0)</f>
        <v>50.4</v>
      </c>
      <c r="AB42" s="47"/>
      <c r="AC42" s="60"/>
      <c r="AD42" s="21"/>
    </row>
    <row r="43" spans="1:30" x14ac:dyDescent="0.25">
      <c r="A43" s="1">
        <v>147</v>
      </c>
      <c r="B43" s="1" t="s">
        <v>38</v>
      </c>
      <c r="D43" s="21"/>
      <c r="E43" s="151"/>
      <c r="F43" s="21"/>
      <c r="H43" s="67">
        <v>131</v>
      </c>
      <c r="I43" s="135" t="str" cm="1">
        <f t="array" ref="I43">_xlfn.XLOOKUP(H43,MateriaalDatabank!$A$1:A332,MateriaalDatabank!$B$1:B332,0.0000001)</f>
        <v>verdicht ongewapend</v>
      </c>
      <c r="J43" s="135" cm="1">
        <f t="array" ref="J43">_xlfn.XLOOKUP(I43,MateriaalDatabank!$B$1:B332,MateriaalDatabank!$C$1:C332,0.0000001)</f>
        <v>1.7</v>
      </c>
      <c r="K43" s="135" cm="1">
        <f t="array" ref="K43">_xlfn.XLOOKUP(I43,MateriaalDatabank!$B$1:B332,MateriaalDatabank!$D$1:D332,0.0000001)</f>
        <v>2400</v>
      </c>
      <c r="L43" s="135" cm="1">
        <f t="array" ref="L43">_xlfn.XLOOKUP(I43,MateriaalDatabank!$B$1:B332,MateriaalDatabank!$E$1:E332,0.0000001)</f>
        <v>840</v>
      </c>
      <c r="M43" s="129">
        <v>0.05</v>
      </c>
      <c r="N43" s="136">
        <f>N42</f>
        <v>54</v>
      </c>
      <c r="O43" s="3">
        <f>O42+Q43</f>
        <v>0.10049019607843138</v>
      </c>
      <c r="P43" s="3">
        <f t="shared" si="39"/>
        <v>0.05</v>
      </c>
      <c r="Q43" s="3">
        <f t="shared" ref="Q43:Q45" si="43">IF(M43&gt;0,M43/J43,0)</f>
        <v>2.9411764705882356E-2</v>
      </c>
      <c r="R43" s="10">
        <f>IF(O43&gt;0.25,0,1)</f>
        <v>1</v>
      </c>
      <c r="S43" s="11">
        <f t="shared" si="40"/>
        <v>1</v>
      </c>
      <c r="T43" s="42">
        <f>IF(S43*M43&gt;0.1-T42-T41,0.1-T42-T41,S43*M43)</f>
        <v>4.5000000000000005E-2</v>
      </c>
      <c r="U43" s="42">
        <f>(M41+M42+M43)/M46</f>
        <v>0.99999999999999989</v>
      </c>
      <c r="V43" s="43">
        <f>IF(U43&lt;(0.5),1,0)</f>
        <v>0</v>
      </c>
      <c r="W43" s="43">
        <f>IF(V43+V42=1,0.5*M46-M42-M41,M43*V43)</f>
        <v>0</v>
      </c>
      <c r="X43" s="42">
        <f t="shared" si="41"/>
        <v>2.6470588235294121E-2</v>
      </c>
      <c r="Y43" s="42">
        <f t="shared" ref="Y43:Y45" si="44">MIN(W43,T43)</f>
        <v>0</v>
      </c>
      <c r="Z43" s="46">
        <f>N43*K43*L43*T43/1000</f>
        <v>4898.880000000001</v>
      </c>
      <c r="AA43" s="46">
        <f t="shared" si="42"/>
        <v>90.720000000000013</v>
      </c>
      <c r="AB43" s="47"/>
      <c r="AC43" s="60"/>
      <c r="AD43" s="21"/>
    </row>
    <row r="44" spans="1:30" x14ac:dyDescent="0.25">
      <c r="D44" s="21"/>
      <c r="E44" s="151"/>
      <c r="F44" s="21"/>
      <c r="H44" s="67"/>
      <c r="I44" s="135" cm="1">
        <f t="array" ref="I44">_xlfn.XLOOKUP(H44,MateriaalDatabank!$A$1:A333,MateriaalDatabank!$B$1:B333,0.0000001)</f>
        <v>0</v>
      </c>
      <c r="J44" s="135" cm="1">
        <f t="array" ref="J44">_xlfn.XLOOKUP(I44,MateriaalDatabank!$B$1:B333,MateriaalDatabank!$C$1:C333,0.0000001)</f>
        <v>9.9999999999999995E-8</v>
      </c>
      <c r="K44" s="135" cm="1">
        <f t="array" ref="K44">_xlfn.XLOOKUP(I44,MateriaalDatabank!$B$1:B333,MateriaalDatabank!$D$1:D333,0.0000001)</f>
        <v>9.9999999999999995E-8</v>
      </c>
      <c r="L44" s="135" cm="1">
        <f t="array" ref="L44">_xlfn.XLOOKUP(I44,MateriaalDatabank!$B$1:B333,MateriaalDatabank!$E$1:E333,0.0000001)</f>
        <v>9.9999999999999995E-8</v>
      </c>
      <c r="M44" s="129"/>
      <c r="N44" s="136">
        <f t="shared" ref="N44:N45" si="45">N43</f>
        <v>54</v>
      </c>
      <c r="O44" s="3">
        <f>O43+Q44</f>
        <v>0.10049019607843138</v>
      </c>
      <c r="P44" s="3">
        <f t="shared" si="39"/>
        <v>0</v>
      </c>
      <c r="Q44" s="3">
        <f t="shared" si="43"/>
        <v>0</v>
      </c>
      <c r="R44" s="10">
        <f>IF(O44&gt;0.25,0,1)</f>
        <v>1</v>
      </c>
      <c r="S44" s="11">
        <f t="shared" si="40"/>
        <v>1</v>
      </c>
      <c r="T44" s="42">
        <f>IF(S44*M44&gt;0.1-T43-T42-T41,0.1-T43-T42-T41,S44*M44)</f>
        <v>-2.6020852139652106E-18</v>
      </c>
      <c r="U44" s="42">
        <f>(M41+M42+M43+M44)/M46</f>
        <v>0.99999999999999989</v>
      </c>
      <c r="V44" s="43">
        <f>IF(U44&lt;(0.5),1,0)</f>
        <v>0</v>
      </c>
      <c r="W44" s="43">
        <f>IF(V44+V43=1,0.5*M46-M43-M42-M41,M44*V44)</f>
        <v>0</v>
      </c>
      <c r="X44" s="42">
        <f t="shared" si="41"/>
        <v>-2.6020852139652106E-11</v>
      </c>
      <c r="Y44" s="42">
        <f t="shared" si="44"/>
        <v>-2.6020852139652106E-18</v>
      </c>
      <c r="Z44" s="46">
        <f>N44*K44*L44*T44/1000</f>
        <v>-1.4051260155412137E-33</v>
      </c>
      <c r="AA44" s="46">
        <f t="shared" si="42"/>
        <v>-2.6020852139652107E-35</v>
      </c>
      <c r="AB44" s="47"/>
      <c r="AC44" s="60"/>
      <c r="AD44" s="21"/>
    </row>
    <row r="45" spans="1:30" x14ac:dyDescent="0.25">
      <c r="A45" s="73" t="s">
        <v>148</v>
      </c>
      <c r="B45" s="73"/>
      <c r="D45" s="21"/>
      <c r="E45" s="151"/>
      <c r="F45" s="21"/>
      <c r="H45" s="67"/>
      <c r="I45" s="135" cm="1">
        <f t="array" ref="I45">_xlfn.XLOOKUP(H45,MateriaalDatabank!$A$1:A334,MateriaalDatabank!$B$1:B334,0.0000001)</f>
        <v>0</v>
      </c>
      <c r="J45" s="135" cm="1">
        <f t="array" ref="J45">_xlfn.XLOOKUP(I45,MateriaalDatabank!$B$1:B334,MateriaalDatabank!$C$1:C334,0.0000001)</f>
        <v>9.9999999999999995E-8</v>
      </c>
      <c r="K45" s="135" cm="1">
        <f t="array" ref="K45">_xlfn.XLOOKUP(I45,MateriaalDatabank!$B$1:B334,MateriaalDatabank!$D$1:D334,0.0000001)</f>
        <v>9.9999999999999995E-8</v>
      </c>
      <c r="L45" s="135" cm="1">
        <f t="array" ref="L45">_xlfn.XLOOKUP(I45,MateriaalDatabank!$B$1:B334,MateriaalDatabank!$E$1:E334,0.0000001)</f>
        <v>9.9999999999999995E-8</v>
      </c>
      <c r="M45" s="129"/>
      <c r="N45" s="136">
        <f t="shared" si="45"/>
        <v>54</v>
      </c>
      <c r="O45" s="3">
        <f>O44+Q45</f>
        <v>0.10049019607843138</v>
      </c>
      <c r="P45" s="3">
        <f t="shared" si="39"/>
        <v>0</v>
      </c>
      <c r="Q45" s="3">
        <f t="shared" si="43"/>
        <v>0</v>
      </c>
      <c r="R45" s="10">
        <f>IF(O45&gt;0.25,0,1)</f>
        <v>1</v>
      </c>
      <c r="S45" s="11">
        <f t="shared" si="40"/>
        <v>1</v>
      </c>
      <c r="T45" s="42">
        <f>IF(S45*M45&gt;0.1-T44-T43-T42-T41,0.1-T44-T43-T42-T41,S45*M45)</f>
        <v>-2.6020852139652106E-18</v>
      </c>
      <c r="U45" s="42">
        <f>(M41+M42+M43+M44+M45)/M46</f>
        <v>0.99999999999999989</v>
      </c>
      <c r="V45" s="43">
        <f>IF(U45&lt;(0.5),1,0)</f>
        <v>0</v>
      </c>
      <c r="W45" s="43">
        <f>IF(V45+V44=1,0.5*M46-M44-M43-M42-M41,M45*V45)</f>
        <v>0</v>
      </c>
      <c r="X45" s="42">
        <f t="shared" si="41"/>
        <v>-2.6020852139652106E-11</v>
      </c>
      <c r="Y45" s="42">
        <f t="shared" si="44"/>
        <v>-2.6020852139652106E-18</v>
      </c>
      <c r="Z45" s="46">
        <f>N45*K45*L45*T45/1000</f>
        <v>-1.4051260155412137E-33</v>
      </c>
      <c r="AA45" s="46">
        <f t="shared" si="42"/>
        <v>-2.6020852139652107E-35</v>
      </c>
      <c r="AB45" s="47"/>
      <c r="AC45" s="60"/>
      <c r="AD45" s="21"/>
    </row>
    <row r="46" spans="1:30" x14ac:dyDescent="0.25">
      <c r="A46" s="1">
        <v>150</v>
      </c>
      <c r="B46" s="1" t="s">
        <v>31</v>
      </c>
      <c r="D46" s="21"/>
      <c r="E46" s="18"/>
      <c r="F46" s="21"/>
      <c r="H46" s="55"/>
      <c r="I46" s="55"/>
      <c r="J46" s="56"/>
      <c r="K46" s="57"/>
      <c r="L46" s="56"/>
      <c r="M46" s="137">
        <f>SUM(M41:M45)+0.00000000000000001</f>
        <v>0.10500000000000002</v>
      </c>
      <c r="N46" s="49">
        <f>N41</f>
        <v>54</v>
      </c>
      <c r="O46" s="57"/>
      <c r="P46" s="137">
        <f>SUM(P41:P45)</f>
        <v>0.10500000000000001</v>
      </c>
      <c r="Q46" s="137">
        <f>SUM(Q41:Q45)</f>
        <v>0.10049019607843138</v>
      </c>
      <c r="R46" s="57"/>
      <c r="S46" s="57"/>
      <c r="T46" s="137">
        <f>SUM(T41:T45)</f>
        <v>0.1</v>
      </c>
      <c r="U46" s="137"/>
      <c r="V46" s="138">
        <f>W46/M46</f>
        <v>0.5</v>
      </c>
      <c r="W46" s="137">
        <f>SUM(W41:W45)</f>
        <v>5.2500000000000012E-2</v>
      </c>
      <c r="X46" s="137">
        <f>SUM(X41:X45)</f>
        <v>9.7549019555801433E-2</v>
      </c>
      <c r="Y46" s="137"/>
      <c r="Z46" s="58">
        <f>SUM(Z41:Z45)</f>
        <v>8096.7600000000011</v>
      </c>
      <c r="AA46" s="58">
        <f>IF(N46&gt;0,Z46/N46,0)</f>
        <v>149.94000000000003</v>
      </c>
      <c r="AB46" s="58">
        <f>Z46/$L$5</f>
        <v>66.366885245901642</v>
      </c>
      <c r="AC46" s="60"/>
      <c r="AD46" s="21"/>
    </row>
    <row r="47" spans="1:30" ht="14.45" customHeight="1" x14ac:dyDescent="0.25">
      <c r="A47" s="1">
        <v>151</v>
      </c>
      <c r="B47" s="1" t="s">
        <v>32</v>
      </c>
      <c r="D47" s="21"/>
      <c r="E47" s="151" t="s">
        <v>136</v>
      </c>
      <c r="F47" s="83" t="s">
        <v>163</v>
      </c>
      <c r="H47" s="68">
        <v>0</v>
      </c>
      <c r="I47" s="52" t="str">
        <f>I40 &amp; " &lt;-- onderzijde (gespiegelde weergave)"</f>
        <v>betonvloer bg &lt;-- onderzijde (gespiegelde weergave)</v>
      </c>
      <c r="J47" s="53"/>
      <c r="K47" s="53"/>
      <c r="L47" s="53"/>
      <c r="M47" s="53"/>
      <c r="N47" s="54"/>
      <c r="O47" s="2"/>
      <c r="P47" s="2"/>
      <c r="Q47" s="2"/>
      <c r="R47" s="139">
        <v>1</v>
      </c>
      <c r="S47" s="10"/>
      <c r="T47" s="42"/>
      <c r="U47" s="42"/>
      <c r="V47" s="43"/>
      <c r="W47" s="43"/>
      <c r="X47" s="42"/>
      <c r="Y47" s="42"/>
      <c r="Z47" s="48"/>
      <c r="AA47" s="48"/>
      <c r="AB47" s="48"/>
      <c r="AC47" s="60"/>
      <c r="AD47" s="21"/>
    </row>
    <row r="48" spans="1:30" x14ac:dyDescent="0.25">
      <c r="D48" s="21"/>
      <c r="E48" s="151"/>
      <c r="F48" s="21"/>
      <c r="H48" s="53"/>
      <c r="I48" s="140">
        <f>I45</f>
        <v>0</v>
      </c>
      <c r="J48" s="141">
        <f t="shared" ref="J48:M48" si="46">J45</f>
        <v>9.9999999999999995E-8</v>
      </c>
      <c r="K48" s="141">
        <f t="shared" si="46"/>
        <v>9.9999999999999995E-8</v>
      </c>
      <c r="L48" s="141">
        <f t="shared" si="46"/>
        <v>9.9999999999999995E-8</v>
      </c>
      <c r="M48" s="142">
        <f t="shared" si="46"/>
        <v>0</v>
      </c>
      <c r="N48" s="143">
        <f>N41*$H$47</f>
        <v>0</v>
      </c>
      <c r="O48" s="3">
        <f>Q48</f>
        <v>0</v>
      </c>
      <c r="P48" s="3">
        <f>IF(S48&gt;0,S48*M48,0)</f>
        <v>0</v>
      </c>
      <c r="Q48" s="3">
        <f>IF(M48&gt;0,M48/J48,0)</f>
        <v>0</v>
      </c>
      <c r="R48" s="10">
        <f>IF(O48&gt;0.25,0,1)</f>
        <v>1</v>
      </c>
      <c r="S48" s="11">
        <f>IF((R48+R47)=1,((0.25-O47)*J48)/M48,R48)</f>
        <v>1</v>
      </c>
      <c r="T48" s="42">
        <f>IF(S48*M48&gt;0.1,0.1,S48*M48)</f>
        <v>0</v>
      </c>
      <c r="U48" s="42">
        <f>M48/M53</f>
        <v>0</v>
      </c>
      <c r="V48" s="43">
        <f>IF(U48&lt;(0.5),1,0)</f>
        <v>1</v>
      </c>
      <c r="W48" s="41">
        <f>IF(V48+V47=0,0.5*M53,M48*V48)</f>
        <v>0</v>
      </c>
      <c r="X48" s="42">
        <f>IF(J48&gt;0,T48/J48,0)</f>
        <v>0</v>
      </c>
      <c r="Y48" s="42">
        <f>MIN(W48,T48)</f>
        <v>0</v>
      </c>
      <c r="Z48" s="46">
        <f>N48*K48*L48*T48/1000</f>
        <v>0</v>
      </c>
      <c r="AA48" s="46">
        <f>IF(N48&gt;0,Z48/N48,0)</f>
        <v>0</v>
      </c>
      <c r="AB48" s="47"/>
      <c r="AC48" s="60"/>
      <c r="AD48" s="21"/>
    </row>
    <row r="49" spans="1:30" x14ac:dyDescent="0.25">
      <c r="A49" s="73" t="s">
        <v>149</v>
      </c>
      <c r="B49" s="73"/>
      <c r="D49" s="21"/>
      <c r="E49" s="151"/>
      <c r="F49" s="21"/>
      <c r="H49" s="144"/>
      <c r="I49" s="140">
        <f>I44</f>
        <v>0</v>
      </c>
      <c r="J49" s="141">
        <f t="shared" ref="J49:M49" si="47">J44</f>
        <v>9.9999999999999995E-8</v>
      </c>
      <c r="K49" s="141">
        <f t="shared" si="47"/>
        <v>9.9999999999999995E-8</v>
      </c>
      <c r="L49" s="141">
        <f t="shared" si="47"/>
        <v>9.9999999999999995E-8</v>
      </c>
      <c r="M49" s="142">
        <f t="shared" si="47"/>
        <v>0</v>
      </c>
      <c r="N49" s="143">
        <f t="shared" ref="N49:N52" si="48">N42*$H$47</f>
        <v>0</v>
      </c>
      <c r="O49" s="3">
        <f>O48+Q49</f>
        <v>0</v>
      </c>
      <c r="P49" s="3">
        <f t="shared" ref="P49:P52" si="49">IF(S49&gt;0,S49*M49,0)</f>
        <v>0</v>
      </c>
      <c r="Q49" s="3">
        <f>IF(M49&gt;0,M49/J49,0)</f>
        <v>0</v>
      </c>
      <c r="R49" s="10">
        <f>IF(O49&gt;0.25,0,1)</f>
        <v>1</v>
      </c>
      <c r="S49" s="11">
        <f t="shared" ref="S49:S52" si="50">IF((R49+R48)=1,((0.25-O48)*J49)/M49,R49)</f>
        <v>1</v>
      </c>
      <c r="T49" s="42">
        <f>IF(S49*M49&gt;0.1-T48,0.1-T48,S49*M49)</f>
        <v>0</v>
      </c>
      <c r="U49" s="42">
        <f>(M48+M49)/M53</f>
        <v>0</v>
      </c>
      <c r="V49" s="43">
        <f>IF(U49&lt;(0.5),1,0)</f>
        <v>1</v>
      </c>
      <c r="W49" s="43">
        <f>IF(V49+V48=1,0.5*M53-M48,M49*V49)</f>
        <v>0</v>
      </c>
      <c r="X49" s="42">
        <f t="shared" ref="X49:X52" si="51">IF(J49&gt;0,T49/J49,0)</f>
        <v>0</v>
      </c>
      <c r="Y49" s="42">
        <f>MIN(W49,T49)</f>
        <v>0</v>
      </c>
      <c r="Z49" s="46">
        <f>N49*K49*L49*T49/1000</f>
        <v>0</v>
      </c>
      <c r="AA49" s="46">
        <f t="shared" ref="AA49:AA52" si="52">IF(N49&gt;0,Z49/N49,0)</f>
        <v>0</v>
      </c>
      <c r="AB49" s="47"/>
      <c r="AC49" s="60"/>
      <c r="AD49" s="21"/>
    </row>
    <row r="50" spans="1:30" x14ac:dyDescent="0.25">
      <c r="A50" s="1">
        <v>160</v>
      </c>
      <c r="B50" s="1" t="s">
        <v>40</v>
      </c>
      <c r="D50" s="21"/>
      <c r="E50" s="151"/>
      <c r="F50" s="21"/>
      <c r="H50" s="144"/>
      <c r="I50" s="140" t="str">
        <f>I43</f>
        <v>verdicht ongewapend</v>
      </c>
      <c r="J50" s="141">
        <f t="shared" ref="J50:M50" si="53">J43</f>
        <v>1.7</v>
      </c>
      <c r="K50" s="141">
        <f t="shared" si="53"/>
        <v>2400</v>
      </c>
      <c r="L50" s="141">
        <f t="shared" si="53"/>
        <v>840</v>
      </c>
      <c r="M50" s="142">
        <f t="shared" si="53"/>
        <v>0.05</v>
      </c>
      <c r="N50" s="143">
        <f t="shared" si="48"/>
        <v>0</v>
      </c>
      <c r="O50" s="3">
        <f>O49+Q50</f>
        <v>2.9411764705882356E-2</v>
      </c>
      <c r="P50" s="3">
        <f t="shared" si="49"/>
        <v>0.05</v>
      </c>
      <c r="Q50" s="3">
        <f t="shared" ref="Q50:Q52" si="54">IF(M50&gt;0,M50/J50,0)</f>
        <v>2.9411764705882356E-2</v>
      </c>
      <c r="R50" s="10">
        <f>IF(O50&gt;0.25,0,1)</f>
        <v>1</v>
      </c>
      <c r="S50" s="11">
        <f t="shared" si="50"/>
        <v>1</v>
      </c>
      <c r="T50" s="42">
        <f>IF(S50*M50&gt;0.1-T49-T48,0.1-T49-T48,S50*M50)</f>
        <v>0.05</v>
      </c>
      <c r="U50" s="42">
        <f>(M48+M49+M50)/M53</f>
        <v>0.47619047619047611</v>
      </c>
      <c r="V50" s="43">
        <f>IF(U50&lt;(0.5),1,0)</f>
        <v>1</v>
      </c>
      <c r="W50" s="43">
        <f>IF(V50+V49=1,0.5*M53-M49-M48,M50*V50)</f>
        <v>0.05</v>
      </c>
      <c r="X50" s="42">
        <f t="shared" si="51"/>
        <v>2.9411764705882356E-2</v>
      </c>
      <c r="Y50" s="42">
        <f t="shared" ref="Y50:Y52" si="55">MIN(W50,T50)</f>
        <v>0.05</v>
      </c>
      <c r="Z50" s="46">
        <f>N50*K50*L50*T50/1000</f>
        <v>0</v>
      </c>
      <c r="AA50" s="46">
        <f t="shared" si="52"/>
        <v>0</v>
      </c>
      <c r="AB50" s="47"/>
      <c r="AC50" s="60"/>
      <c r="AD50" s="21"/>
    </row>
    <row r="51" spans="1:30" x14ac:dyDescent="0.25">
      <c r="A51" s="1">
        <v>161</v>
      </c>
      <c r="B51" s="1" t="s">
        <v>41</v>
      </c>
      <c r="D51" s="21"/>
      <c r="E51" s="151"/>
      <c r="F51" s="21"/>
      <c r="H51" s="144"/>
      <c r="I51" s="140" t="str">
        <f>I42</f>
        <v>(voorbeeld) anhydriet</v>
      </c>
      <c r="J51" s="141">
        <f t="shared" ref="J51:M51" si="56">J42</f>
        <v>1.2</v>
      </c>
      <c r="K51" s="141">
        <f t="shared" si="56"/>
        <v>1200</v>
      </c>
      <c r="L51" s="141">
        <f t="shared" si="56"/>
        <v>840</v>
      </c>
      <c r="M51" s="142">
        <f t="shared" si="56"/>
        <v>0.05</v>
      </c>
      <c r="N51" s="143">
        <f t="shared" si="48"/>
        <v>0</v>
      </c>
      <c r="O51" s="3">
        <f>O50+Q51</f>
        <v>7.1078431372549031E-2</v>
      </c>
      <c r="P51" s="3">
        <f t="shared" si="49"/>
        <v>0.05</v>
      </c>
      <c r="Q51" s="3">
        <f t="shared" si="54"/>
        <v>4.1666666666666671E-2</v>
      </c>
      <c r="R51" s="10">
        <f>IF(O51&gt;0.25,0,1)</f>
        <v>1</v>
      </c>
      <c r="S51" s="11">
        <f t="shared" si="50"/>
        <v>1</v>
      </c>
      <c r="T51" s="42">
        <f>IF(S51*M51&gt;0.1-T50-T49-T48,0.1-T50-T49-T48,S51*M51)</f>
        <v>0.05</v>
      </c>
      <c r="U51" s="42">
        <f>(M48+M49+M50+M51)/M53</f>
        <v>0.95238095238095222</v>
      </c>
      <c r="V51" s="43">
        <f>IF(U51&lt;(0.5),1,0)</f>
        <v>0</v>
      </c>
      <c r="W51" s="43">
        <f>IF(V51+V50=1,0.5*M53-M50-M49-M48,M51*V51)</f>
        <v>2.5000000000000092E-3</v>
      </c>
      <c r="X51" s="42">
        <f t="shared" si="51"/>
        <v>4.1666666666666671E-2</v>
      </c>
      <c r="Y51" s="42">
        <f t="shared" si="55"/>
        <v>2.5000000000000092E-3</v>
      </c>
      <c r="Z51" s="46">
        <f>N51*K51*L51*T51/1000</f>
        <v>0</v>
      </c>
      <c r="AA51" s="46">
        <f t="shared" si="52"/>
        <v>0</v>
      </c>
      <c r="AB51" s="47"/>
      <c r="AC51" s="60"/>
      <c r="AD51" s="21"/>
    </row>
    <row r="52" spans="1:30" x14ac:dyDescent="0.25">
      <c r="A52" s="1">
        <v>162</v>
      </c>
      <c r="B52" s="1" t="s">
        <v>42</v>
      </c>
      <c r="D52" s="21"/>
      <c r="E52" s="151"/>
      <c r="F52" s="21"/>
      <c r="H52" s="144"/>
      <c r="I52" s="140" t="str">
        <f>I41</f>
        <v>Linoleum</v>
      </c>
      <c r="J52" s="141">
        <f t="shared" ref="J52:M52" si="57">J41</f>
        <v>0.17</v>
      </c>
      <c r="K52" s="141">
        <f t="shared" si="57"/>
        <v>1200</v>
      </c>
      <c r="L52" s="141">
        <f t="shared" si="57"/>
        <v>1470</v>
      </c>
      <c r="M52" s="142">
        <f t="shared" si="57"/>
        <v>5.0000000000000001E-3</v>
      </c>
      <c r="N52" s="143">
        <f t="shared" si="48"/>
        <v>0</v>
      </c>
      <c r="O52" s="3">
        <f>O51+Q52</f>
        <v>0.10049019607843138</v>
      </c>
      <c r="P52" s="3">
        <f t="shared" si="49"/>
        <v>5.0000000000000001E-3</v>
      </c>
      <c r="Q52" s="3">
        <f t="shared" si="54"/>
        <v>2.9411764705882353E-2</v>
      </c>
      <c r="R52" s="10">
        <f>IF(O52&gt;0.25,0,1)</f>
        <v>1</v>
      </c>
      <c r="S52" s="11">
        <f t="shared" si="50"/>
        <v>1</v>
      </c>
      <c r="T52" s="42">
        <f>IF(S52*M52&gt;0.1-T51-T50-T49-T48,0.1-T51-T50-T49-T48,S52*M52)</f>
        <v>0</v>
      </c>
      <c r="U52" s="42">
        <f>(M48+M49+M50+M51+M52)/M53</f>
        <v>0.99999999999999989</v>
      </c>
      <c r="V52" s="43">
        <f>IF(U52&lt;(0.5),1,0)</f>
        <v>0</v>
      </c>
      <c r="W52" s="43">
        <f>IF(V52+V51=1,0.5*M53-M51-M50-M49-M48,M52*V52)</f>
        <v>0</v>
      </c>
      <c r="X52" s="42">
        <f t="shared" si="51"/>
        <v>0</v>
      </c>
      <c r="Y52" s="42">
        <f t="shared" si="55"/>
        <v>0</v>
      </c>
      <c r="Z52" s="46">
        <f>N52*K52*L52*T52/1000</f>
        <v>0</v>
      </c>
      <c r="AA52" s="46">
        <f t="shared" si="52"/>
        <v>0</v>
      </c>
      <c r="AB52" s="47"/>
      <c r="AC52" s="60"/>
      <c r="AD52" s="21"/>
    </row>
    <row r="53" spans="1:30" x14ac:dyDescent="0.25">
      <c r="D53" s="21"/>
      <c r="E53" s="21"/>
      <c r="F53" s="21"/>
      <c r="H53" s="55"/>
      <c r="I53" s="55"/>
      <c r="J53" s="56"/>
      <c r="K53" s="57"/>
      <c r="L53" s="56"/>
      <c r="M53" s="137">
        <f>SUM(M48:M52)+0.00000000000000001</f>
        <v>0.10500000000000002</v>
      </c>
      <c r="N53" s="49">
        <f>N48</f>
        <v>0</v>
      </c>
      <c r="O53" s="57"/>
      <c r="P53" s="137">
        <f>SUM(P48:P52)</f>
        <v>0.10500000000000001</v>
      </c>
      <c r="Q53" s="137">
        <f>SUM(Q48:Q52)</f>
        <v>0.10049019607843138</v>
      </c>
      <c r="R53" s="57"/>
      <c r="S53" s="57"/>
      <c r="T53" s="137">
        <f>SUM(T48:T52)</f>
        <v>0.1</v>
      </c>
      <c r="U53" s="137"/>
      <c r="V53" s="138">
        <f>W53/M53</f>
        <v>0.5</v>
      </c>
      <c r="W53" s="137">
        <f>SUM(W48:W52)</f>
        <v>5.2500000000000012E-2</v>
      </c>
      <c r="X53" s="137">
        <f>SUM(X48:X52)</f>
        <v>7.1078431372549031E-2</v>
      </c>
      <c r="Y53" s="137"/>
      <c r="Z53" s="58">
        <f>SUM(Z48:Z52)</f>
        <v>0</v>
      </c>
      <c r="AA53" s="58">
        <f>IF(N53&gt;0,Z53/N53,0)</f>
        <v>0</v>
      </c>
      <c r="AB53" s="58">
        <f>Z53/$L$5</f>
        <v>0</v>
      </c>
      <c r="AC53" s="60"/>
      <c r="AD53" s="21"/>
    </row>
    <row r="54" spans="1:30" x14ac:dyDescent="0.25">
      <c r="A54" s="73" t="s">
        <v>150</v>
      </c>
      <c r="B54" s="73"/>
      <c r="D54" s="21"/>
      <c r="E54" s="21"/>
      <c r="F54" s="21"/>
      <c r="H54" s="60"/>
      <c r="I54" s="61"/>
      <c r="J54" s="62"/>
      <c r="K54" s="63"/>
      <c r="L54" s="62"/>
      <c r="M54" s="3"/>
      <c r="N54" s="2"/>
      <c r="O54" s="63"/>
      <c r="P54" s="3"/>
      <c r="Q54" s="3"/>
      <c r="R54" s="63"/>
      <c r="S54" s="63"/>
      <c r="T54" s="3"/>
      <c r="U54" s="3"/>
      <c r="V54" s="11"/>
      <c r="W54" s="3"/>
      <c r="X54" s="3"/>
      <c r="Y54" s="36"/>
      <c r="Z54" s="9"/>
      <c r="AA54" s="9"/>
      <c r="AB54" s="9"/>
      <c r="AC54" s="60"/>
      <c r="AD54" s="21"/>
    </row>
    <row r="55" spans="1:30" ht="14.45" customHeight="1" x14ac:dyDescent="0.25">
      <c r="A55" s="1">
        <v>170</v>
      </c>
      <c r="B55" s="1" t="s">
        <v>43</v>
      </c>
      <c r="D55" s="21"/>
      <c r="E55" s="151" t="s">
        <v>135</v>
      </c>
      <c r="F55" s="21"/>
      <c r="H55" s="55"/>
      <c r="I55" s="50" t="s">
        <v>209</v>
      </c>
      <c r="J55" s="51"/>
      <c r="K55" s="51"/>
      <c r="L55" s="51"/>
      <c r="M55" s="51"/>
      <c r="N55" s="51"/>
      <c r="O55" s="49"/>
      <c r="P55" s="49"/>
      <c r="Q55" s="49"/>
      <c r="R55" s="145">
        <v>1</v>
      </c>
      <c r="S55" s="146"/>
      <c r="T55" s="49"/>
      <c r="U55" s="49"/>
      <c r="V55" s="49"/>
      <c r="W55" s="49"/>
      <c r="X55" s="49"/>
      <c r="Y55" s="134" t="str">
        <f>I55</f>
        <v>.</v>
      </c>
      <c r="Z55" s="72">
        <f>Z61+Z68</f>
        <v>0</v>
      </c>
      <c r="AA55" s="72">
        <f>AA61+AA68</f>
        <v>0</v>
      </c>
      <c r="AB55" s="72">
        <f>AB61+AB68</f>
        <v>0</v>
      </c>
      <c r="AC55" s="60"/>
      <c r="AD55" s="21"/>
    </row>
    <row r="56" spans="1:30" x14ac:dyDescent="0.25">
      <c r="A56" s="1">
        <v>171</v>
      </c>
      <c r="B56" s="1" t="s">
        <v>44</v>
      </c>
      <c r="D56" s="21"/>
      <c r="E56" s="151"/>
      <c r="F56" s="21"/>
      <c r="H56" s="67"/>
      <c r="I56" s="135" cm="1">
        <f t="array" ref="I56">_xlfn.XLOOKUP(H56,MateriaalDatabank!$A$1:A345,MateriaalDatabank!$B$1:B345,0.0000001)</f>
        <v>0</v>
      </c>
      <c r="J56" s="135" cm="1">
        <f t="array" ref="J56">_xlfn.XLOOKUP(I56,MateriaalDatabank!$B$1:B345,MateriaalDatabank!$C$1:C345,0.0000001)</f>
        <v>9.9999999999999995E-8</v>
      </c>
      <c r="K56" s="135" cm="1">
        <f t="array" ref="K56">_xlfn.XLOOKUP(I56,MateriaalDatabank!$B$1:B345,MateriaalDatabank!$D$1:D345,0.0000001)</f>
        <v>9.9999999999999995E-8</v>
      </c>
      <c r="L56" s="135" cm="1">
        <f t="array" ref="L56">_xlfn.XLOOKUP(I56,MateriaalDatabank!$B$1:B345,MateriaalDatabank!$E$1:E345,0.0000001)</f>
        <v>9.9999999999999995E-8</v>
      </c>
      <c r="M56" s="128"/>
      <c r="N56" s="130"/>
      <c r="O56" s="36">
        <f>Q56</f>
        <v>0</v>
      </c>
      <c r="P56" s="36">
        <f>IF(S56&gt;0,S56*M56,0)</f>
        <v>0</v>
      </c>
      <c r="Q56" s="36">
        <f>IF(M56&gt;0,M56/J56,0)</f>
        <v>0</v>
      </c>
      <c r="R56" s="37">
        <f>IF(O56&gt;0.25,0,1)</f>
        <v>1</v>
      </c>
      <c r="S56" s="38">
        <f>IF((R56+R55)=1,((0.25-O55)*J56)/M56,R56)</f>
        <v>1</v>
      </c>
      <c r="T56" s="40">
        <f>IF(S56*M56&gt;0.1,0.1,S56*M56)</f>
        <v>0</v>
      </c>
      <c r="U56" s="40">
        <f>M56/M61</f>
        <v>0</v>
      </c>
      <c r="V56" s="41">
        <f>IF(U56&lt;(0.5),1,0)</f>
        <v>1</v>
      </c>
      <c r="W56" s="41">
        <f>IF(V56+V55=0,0.5*M61,M56*V56)</f>
        <v>0</v>
      </c>
      <c r="X56" s="40">
        <f>IF(J56&gt;0,T56/J56,0)</f>
        <v>0</v>
      </c>
      <c r="Y56" s="40">
        <f>MIN(W56,T56)</f>
        <v>0</v>
      </c>
      <c r="Z56" s="44">
        <f>N56*K56*L56*T56/1000</f>
        <v>0</v>
      </c>
      <c r="AA56" s="44">
        <f>IF(N56&gt;0,Z56/N56,0)</f>
        <v>0</v>
      </c>
      <c r="AB56" s="45"/>
      <c r="AC56" s="60"/>
      <c r="AD56" s="21"/>
    </row>
    <row r="57" spans="1:30" x14ac:dyDescent="0.25">
      <c r="A57" s="1">
        <v>172</v>
      </c>
      <c r="B57" s="1" t="s">
        <v>45</v>
      </c>
      <c r="D57" s="21"/>
      <c r="E57" s="151"/>
      <c r="F57" s="21"/>
      <c r="H57" s="67"/>
      <c r="I57" s="135" cm="1">
        <f t="array" ref="I57">_xlfn.XLOOKUP(H57,MateriaalDatabank!$A$1:A346,MateriaalDatabank!$B$1:B346,0.0000001)</f>
        <v>0</v>
      </c>
      <c r="J57" s="135" cm="1">
        <f t="array" ref="J57">_xlfn.XLOOKUP(I57,MateriaalDatabank!$B$1:B346,MateriaalDatabank!$C$1:C346,0.0000001)</f>
        <v>9.9999999999999995E-8</v>
      </c>
      <c r="K57" s="135" cm="1">
        <f t="array" ref="K57">_xlfn.XLOOKUP(I57,MateriaalDatabank!$B$1:B346,MateriaalDatabank!$D$1:D346,0.0000001)</f>
        <v>9.9999999999999995E-8</v>
      </c>
      <c r="L57" s="135" cm="1">
        <f t="array" ref="L57">_xlfn.XLOOKUP(I57,MateriaalDatabank!$B$1:B346,MateriaalDatabank!$E$1:E346,0.0000001)</f>
        <v>9.9999999999999995E-8</v>
      </c>
      <c r="M57" s="129"/>
      <c r="N57" s="136">
        <f>N56</f>
        <v>0</v>
      </c>
      <c r="O57" s="3">
        <f>O56+Q57</f>
        <v>0</v>
      </c>
      <c r="P57" s="3">
        <f t="shared" ref="P57:P60" si="58">IF(S57&gt;0,S57*M57,0)</f>
        <v>0</v>
      </c>
      <c r="Q57" s="3">
        <f>IF(M57&gt;0,M57/J57,0)</f>
        <v>0</v>
      </c>
      <c r="R57" s="10">
        <f>IF(O57&gt;0.25,0,1)</f>
        <v>1</v>
      </c>
      <c r="S57" s="11">
        <f t="shared" ref="S57:S60" si="59">IF((R57+R56)=1,((0.25-O56)*J57)/M57,R57)</f>
        <v>1</v>
      </c>
      <c r="T57" s="42">
        <f>IF(S57*M57&gt;0.1-T56,0.1-T56,S57*M57)</f>
        <v>0</v>
      </c>
      <c r="U57" s="42">
        <f>(M56+M57)/M61</f>
        <v>0</v>
      </c>
      <c r="V57" s="43">
        <f>IF(U57&lt;(0.5),1,0)</f>
        <v>1</v>
      </c>
      <c r="W57" s="43">
        <f>IF(V57+V56=1,0.5*M61-M56,M57*V57)</f>
        <v>0</v>
      </c>
      <c r="X57" s="42">
        <f t="shared" ref="X57:X60" si="60">IF(J57&gt;0,T57/J57,0)</f>
        <v>0</v>
      </c>
      <c r="Y57" s="42">
        <f>MIN(W57,T57)</f>
        <v>0</v>
      </c>
      <c r="Z57" s="46">
        <f>N57*K57*L57*T57/1000</f>
        <v>0</v>
      </c>
      <c r="AA57" s="46">
        <f t="shared" ref="AA57:AA60" si="61">IF(N57&gt;0,Z57/N57,0)</f>
        <v>0</v>
      </c>
      <c r="AB57" s="47"/>
      <c r="AC57" s="60"/>
      <c r="AD57" s="21"/>
    </row>
    <row r="58" spans="1:30" x14ac:dyDescent="0.25">
      <c r="A58" s="1">
        <v>173</v>
      </c>
      <c r="B58" s="1" t="s">
        <v>46</v>
      </c>
      <c r="D58" s="21"/>
      <c r="E58" s="151"/>
      <c r="F58" s="21"/>
      <c r="H58" s="67"/>
      <c r="I58" s="135" cm="1">
        <f t="array" ref="I58">_xlfn.XLOOKUP(H58,MateriaalDatabank!$A$1:A347,MateriaalDatabank!$B$1:B347,0.0000001)</f>
        <v>0</v>
      </c>
      <c r="J58" s="135" cm="1">
        <f t="array" ref="J58">_xlfn.XLOOKUP(I58,MateriaalDatabank!$B$1:B347,MateriaalDatabank!$C$1:C347,0.0000001)</f>
        <v>9.9999999999999995E-8</v>
      </c>
      <c r="K58" s="135" cm="1">
        <f t="array" ref="K58">_xlfn.XLOOKUP(I58,MateriaalDatabank!$B$1:B347,MateriaalDatabank!$D$1:D347,0.0000001)</f>
        <v>9.9999999999999995E-8</v>
      </c>
      <c r="L58" s="135" cm="1">
        <f t="array" ref="L58">_xlfn.XLOOKUP(I58,MateriaalDatabank!$B$1:B347,MateriaalDatabank!$E$1:E347,0.0000001)</f>
        <v>9.9999999999999995E-8</v>
      </c>
      <c r="M58" s="129"/>
      <c r="N58" s="136">
        <f>N57</f>
        <v>0</v>
      </c>
      <c r="O58" s="3">
        <f>O57+Q58</f>
        <v>0</v>
      </c>
      <c r="P58" s="3">
        <f t="shared" si="58"/>
        <v>0</v>
      </c>
      <c r="Q58" s="3">
        <f t="shared" ref="Q58:Q60" si="62">IF(M58&gt;0,M58/J58,0)</f>
        <v>0</v>
      </c>
      <c r="R58" s="10">
        <f>IF(O58&gt;0.25,0,1)</f>
        <v>1</v>
      </c>
      <c r="S58" s="11">
        <f t="shared" si="59"/>
        <v>1</v>
      </c>
      <c r="T58" s="42">
        <f>IF(S58*M58&gt;0.1-T57-T56,0.1-T57-T56,S58*M58)</f>
        <v>0</v>
      </c>
      <c r="U58" s="42">
        <f>(M56+M57+M58)/M61</f>
        <v>0</v>
      </c>
      <c r="V58" s="43">
        <f>IF(U58&lt;(0.5),1,0)</f>
        <v>1</v>
      </c>
      <c r="W58" s="43">
        <f>IF(V58+V57=1,0.5*M61-M57-M56,M58*V58)</f>
        <v>0</v>
      </c>
      <c r="X58" s="42">
        <f t="shared" si="60"/>
        <v>0</v>
      </c>
      <c r="Y58" s="42">
        <f t="shared" ref="Y58:Y60" si="63">MIN(W58,T58)</f>
        <v>0</v>
      </c>
      <c r="Z58" s="46">
        <f>N58*K58*L58*T58/1000</f>
        <v>0</v>
      </c>
      <c r="AA58" s="46">
        <f t="shared" si="61"/>
        <v>0</v>
      </c>
      <c r="AB58" s="47"/>
      <c r="AC58" s="60"/>
      <c r="AD58" s="21"/>
    </row>
    <row r="59" spans="1:30" x14ac:dyDescent="0.25">
      <c r="D59" s="21"/>
      <c r="E59" s="151"/>
      <c r="F59" s="21"/>
      <c r="H59" s="67"/>
      <c r="I59" s="135" cm="1">
        <f t="array" ref="I59">_xlfn.XLOOKUP(H59,MateriaalDatabank!$A$1:A348,MateriaalDatabank!$B$1:B348,0.0000001)</f>
        <v>0</v>
      </c>
      <c r="J59" s="135" cm="1">
        <f t="array" ref="J59">_xlfn.XLOOKUP(I59,MateriaalDatabank!$B$1:B348,MateriaalDatabank!$C$1:C348,0.0000001)</f>
        <v>9.9999999999999995E-8</v>
      </c>
      <c r="K59" s="135" cm="1">
        <f t="array" ref="K59">_xlfn.XLOOKUP(I59,MateriaalDatabank!$B$1:B348,MateriaalDatabank!$D$1:D348,0.0000001)</f>
        <v>9.9999999999999995E-8</v>
      </c>
      <c r="L59" s="135" cm="1">
        <f t="array" ref="L59">_xlfn.XLOOKUP(I59,MateriaalDatabank!$B$1:B348,MateriaalDatabank!$E$1:E348,0.0000001)</f>
        <v>9.9999999999999995E-8</v>
      </c>
      <c r="M59" s="129"/>
      <c r="N59" s="136">
        <f t="shared" ref="N59:N60" si="64">N58</f>
        <v>0</v>
      </c>
      <c r="O59" s="3">
        <f>O58+Q59</f>
        <v>0</v>
      </c>
      <c r="P59" s="3">
        <f t="shared" si="58"/>
        <v>0</v>
      </c>
      <c r="Q59" s="3">
        <f t="shared" si="62"/>
        <v>0</v>
      </c>
      <c r="R59" s="10">
        <f>IF(O59&gt;0.25,0,1)</f>
        <v>1</v>
      </c>
      <c r="S59" s="11">
        <f t="shared" si="59"/>
        <v>1</v>
      </c>
      <c r="T59" s="42">
        <f>IF(S59*M59&gt;0.1-T58-T57-T56,0.1-T58-T57-T56,S59*M59)</f>
        <v>0</v>
      </c>
      <c r="U59" s="42">
        <f>(M56+M57+M58+M59)/M61</f>
        <v>0</v>
      </c>
      <c r="V59" s="43">
        <f>IF(U59&lt;(0.5),1,0)</f>
        <v>1</v>
      </c>
      <c r="W59" s="43">
        <f>IF(V59+V58=1,0.5*M61-M58-M57-M56,M59*V59)</f>
        <v>0</v>
      </c>
      <c r="X59" s="42">
        <f t="shared" si="60"/>
        <v>0</v>
      </c>
      <c r="Y59" s="42">
        <f t="shared" si="63"/>
        <v>0</v>
      </c>
      <c r="Z59" s="46">
        <f>N59*K59*L59*T59/1000</f>
        <v>0</v>
      </c>
      <c r="AA59" s="46">
        <f t="shared" si="61"/>
        <v>0</v>
      </c>
      <c r="AB59" s="47"/>
      <c r="AC59" s="60"/>
      <c r="AD59" s="21"/>
    </row>
    <row r="60" spans="1:30" x14ac:dyDescent="0.25">
      <c r="A60" s="73" t="s">
        <v>151</v>
      </c>
      <c r="B60" s="73"/>
      <c r="D60" s="21"/>
      <c r="E60" s="151"/>
      <c r="F60" s="21"/>
      <c r="H60" s="67"/>
      <c r="I60" s="135" cm="1">
        <f t="array" ref="I60">_xlfn.XLOOKUP(H60,MateriaalDatabank!$A$1:A349,MateriaalDatabank!$B$1:B349,0.0000001)</f>
        <v>0</v>
      </c>
      <c r="J60" s="135" cm="1">
        <f t="array" ref="J60">_xlfn.XLOOKUP(I60,MateriaalDatabank!$B$1:B349,MateriaalDatabank!$C$1:C349,0.0000001)</f>
        <v>9.9999999999999995E-8</v>
      </c>
      <c r="K60" s="135" cm="1">
        <f t="array" ref="K60">_xlfn.XLOOKUP(I60,MateriaalDatabank!$B$1:B349,MateriaalDatabank!$D$1:D349,0.0000001)</f>
        <v>9.9999999999999995E-8</v>
      </c>
      <c r="L60" s="135" cm="1">
        <f t="array" ref="L60">_xlfn.XLOOKUP(I60,MateriaalDatabank!$B$1:B349,MateriaalDatabank!$E$1:E349,0.0000001)</f>
        <v>9.9999999999999995E-8</v>
      </c>
      <c r="M60" s="129"/>
      <c r="N60" s="136">
        <f t="shared" si="64"/>
        <v>0</v>
      </c>
      <c r="O60" s="3">
        <f>O59+Q60</f>
        <v>0</v>
      </c>
      <c r="P60" s="3">
        <f t="shared" si="58"/>
        <v>0</v>
      </c>
      <c r="Q60" s="3">
        <f t="shared" si="62"/>
        <v>0</v>
      </c>
      <c r="R60" s="10">
        <f>IF(O60&gt;0.25,0,1)</f>
        <v>1</v>
      </c>
      <c r="S60" s="11">
        <f t="shared" si="59"/>
        <v>1</v>
      </c>
      <c r="T60" s="42">
        <f>IF(S60*M60&gt;0.1-T59-T58-T57-T56,0.1-T59-T58-T57-T56,S60*M60)</f>
        <v>0</v>
      </c>
      <c r="U60" s="42">
        <f>(M56+M57+M58+M59+M60)/M61</f>
        <v>0</v>
      </c>
      <c r="V60" s="43">
        <f>IF(U60&lt;(0.5),1,0)</f>
        <v>1</v>
      </c>
      <c r="W60" s="43">
        <f>IF(V60+V59=1,0.5*M61-M59-M58-M57-M56,M60*V60)</f>
        <v>0</v>
      </c>
      <c r="X60" s="42">
        <f t="shared" si="60"/>
        <v>0</v>
      </c>
      <c r="Y60" s="42">
        <f t="shared" si="63"/>
        <v>0</v>
      </c>
      <c r="Z60" s="46">
        <f>N60*K60*L60*T60/1000</f>
        <v>0</v>
      </c>
      <c r="AA60" s="46">
        <f t="shared" si="61"/>
        <v>0</v>
      </c>
      <c r="AB60" s="47"/>
      <c r="AC60" s="60"/>
      <c r="AD60" s="21"/>
    </row>
    <row r="61" spans="1:30" x14ac:dyDescent="0.25">
      <c r="A61" s="1">
        <v>190</v>
      </c>
      <c r="B61" s="1" t="s">
        <v>53</v>
      </c>
      <c r="D61" s="21"/>
      <c r="E61" s="18"/>
      <c r="F61" s="21"/>
      <c r="H61" s="55"/>
      <c r="I61" s="55"/>
      <c r="J61" s="56"/>
      <c r="K61" s="57"/>
      <c r="L61" s="56"/>
      <c r="M61" s="137">
        <f>SUM(M56:M60)+0.00000000000000001</f>
        <v>1.0000000000000001E-17</v>
      </c>
      <c r="N61" s="49">
        <f>N56</f>
        <v>0</v>
      </c>
      <c r="O61" s="57"/>
      <c r="P61" s="137">
        <f>SUM(P56:P60)</f>
        <v>0</v>
      </c>
      <c r="Q61" s="137">
        <f>SUM(Q56:Q60)</f>
        <v>0</v>
      </c>
      <c r="R61" s="57"/>
      <c r="S61" s="57"/>
      <c r="T61" s="137">
        <f>SUM(T56:T60)</f>
        <v>0</v>
      </c>
      <c r="U61" s="137"/>
      <c r="V61" s="138">
        <f>W61/M61</f>
        <v>0</v>
      </c>
      <c r="W61" s="137">
        <f>SUM(W56:W60)</f>
        <v>0</v>
      </c>
      <c r="X61" s="137">
        <f>SUM(X56:X60)</f>
        <v>0</v>
      </c>
      <c r="Y61" s="137"/>
      <c r="Z61" s="58">
        <f>SUM(Z56:Z60)</f>
        <v>0</v>
      </c>
      <c r="AA61" s="58">
        <f>IF(N61&gt;0,Z61/N61,0)</f>
        <v>0</v>
      </c>
      <c r="AB61" s="58">
        <f>Z61/$L$5</f>
        <v>0</v>
      </c>
      <c r="AC61" s="60"/>
      <c r="AD61" s="21"/>
    </row>
    <row r="62" spans="1:30" ht="14.45" customHeight="1" x14ac:dyDescent="0.25">
      <c r="A62" s="1">
        <v>191</v>
      </c>
      <c r="B62" s="1" t="s">
        <v>54</v>
      </c>
      <c r="D62" s="21"/>
      <c r="E62" s="151" t="s">
        <v>136</v>
      </c>
      <c r="F62" s="83" t="s">
        <v>163</v>
      </c>
      <c r="H62" s="68">
        <v>0</v>
      </c>
      <c r="I62" s="52" t="str">
        <f>I55 &amp; " &lt;-- onderzijde (gespiegelde weergave)"</f>
        <v>. &lt;-- onderzijde (gespiegelde weergave)</v>
      </c>
      <c r="J62" s="53"/>
      <c r="K62" s="53"/>
      <c r="L62" s="53"/>
      <c r="M62" s="53"/>
      <c r="N62" s="54"/>
      <c r="O62" s="2"/>
      <c r="P62" s="2"/>
      <c r="Q62" s="2"/>
      <c r="R62" s="139">
        <v>1</v>
      </c>
      <c r="S62" s="10"/>
      <c r="T62" s="42"/>
      <c r="U62" s="42"/>
      <c r="V62" s="43"/>
      <c r="W62" s="43"/>
      <c r="X62" s="42"/>
      <c r="Y62" s="42"/>
      <c r="Z62" s="48"/>
      <c r="AA62" s="48"/>
      <c r="AB62" s="48"/>
      <c r="AC62" s="60"/>
      <c r="AD62" s="21"/>
    </row>
    <row r="63" spans="1:30" x14ac:dyDescent="0.25">
      <c r="A63" s="1">
        <v>192</v>
      </c>
      <c r="B63" s="1" t="s">
        <v>55</v>
      </c>
      <c r="D63" s="21"/>
      <c r="E63" s="151"/>
      <c r="F63" s="21"/>
      <c r="H63" s="53"/>
      <c r="I63" s="140">
        <f>I60</f>
        <v>0</v>
      </c>
      <c r="J63" s="141">
        <f t="shared" ref="J63:M63" si="65">J60</f>
        <v>9.9999999999999995E-8</v>
      </c>
      <c r="K63" s="141">
        <f t="shared" si="65"/>
        <v>9.9999999999999995E-8</v>
      </c>
      <c r="L63" s="141">
        <f t="shared" si="65"/>
        <v>9.9999999999999995E-8</v>
      </c>
      <c r="M63" s="142">
        <f t="shared" si="65"/>
        <v>0</v>
      </c>
      <c r="N63" s="143">
        <f>N56*$H$62</f>
        <v>0</v>
      </c>
      <c r="O63" s="3">
        <f>Q63</f>
        <v>0</v>
      </c>
      <c r="P63" s="3">
        <f>IF(S63&gt;0,S63*M63,0)</f>
        <v>0</v>
      </c>
      <c r="Q63" s="3">
        <f>IF(M63&gt;0,M63/J63,0)</f>
        <v>0</v>
      </c>
      <c r="R63" s="10">
        <f>IF(O63&gt;0.25,0,1)</f>
        <v>1</v>
      </c>
      <c r="S63" s="11">
        <f>IF((R63+R62)=1,((0.25-O62)*J63)/M63,R63)</f>
        <v>1</v>
      </c>
      <c r="T63" s="42">
        <f>IF(S63*M63&gt;0.1,0.1,S63*M63)</f>
        <v>0</v>
      </c>
      <c r="U63" s="42">
        <f>M63/M68</f>
        <v>0</v>
      </c>
      <c r="V63" s="43">
        <f>IF(U63&lt;(0.5),1,0)</f>
        <v>1</v>
      </c>
      <c r="W63" s="41">
        <f>IF(V63+V62=0,0.5*M68,M63*V63)</f>
        <v>0</v>
      </c>
      <c r="X63" s="42">
        <f>IF(J63&gt;0,T63/J63,0)</f>
        <v>0</v>
      </c>
      <c r="Y63" s="42">
        <f>MIN(W63,T63)</f>
        <v>0</v>
      </c>
      <c r="Z63" s="46">
        <f>N63*K63*L63*T63/1000</f>
        <v>0</v>
      </c>
      <c r="AA63" s="46">
        <f>IF(N63&gt;0,Z63/N63,0)</f>
        <v>0</v>
      </c>
      <c r="AB63" s="47"/>
      <c r="AC63" s="60"/>
      <c r="AD63" s="21"/>
    </row>
    <row r="64" spans="1:30" x14ac:dyDescent="0.25">
      <c r="A64" s="1">
        <v>193</v>
      </c>
      <c r="B64" s="1" t="s">
        <v>56</v>
      </c>
      <c r="D64" s="21"/>
      <c r="E64" s="151"/>
      <c r="F64" s="21"/>
      <c r="H64" s="144"/>
      <c r="I64" s="140">
        <f>I59</f>
        <v>0</v>
      </c>
      <c r="J64" s="141">
        <f t="shared" ref="J64:M64" si="66">J59</f>
        <v>9.9999999999999995E-8</v>
      </c>
      <c r="K64" s="141">
        <f t="shared" si="66"/>
        <v>9.9999999999999995E-8</v>
      </c>
      <c r="L64" s="141">
        <f t="shared" si="66"/>
        <v>9.9999999999999995E-8</v>
      </c>
      <c r="M64" s="142">
        <f t="shared" si="66"/>
        <v>0</v>
      </c>
      <c r="N64" s="143">
        <f t="shared" ref="N64:N67" si="67">N57*$H$62</f>
        <v>0</v>
      </c>
      <c r="O64" s="3">
        <f>O63+Q64</f>
        <v>0</v>
      </c>
      <c r="P64" s="3">
        <f t="shared" ref="P64:P67" si="68">IF(S64&gt;0,S64*M64,0)</f>
        <v>0</v>
      </c>
      <c r="Q64" s="3">
        <f>IF(M64&gt;0,M64/J64,0)</f>
        <v>0</v>
      </c>
      <c r="R64" s="10">
        <f>IF(O64&gt;0.25,0,1)</f>
        <v>1</v>
      </c>
      <c r="S64" s="11">
        <f t="shared" ref="S64:S67" si="69">IF((R64+R63)=1,((0.25-O63)*J64)/M64,R64)</f>
        <v>1</v>
      </c>
      <c r="T64" s="42">
        <f>IF(S64*M64&gt;0.1-T63,0.1-T63,S64*M64)</f>
        <v>0</v>
      </c>
      <c r="U64" s="42">
        <f>(M63+M64)/M68</f>
        <v>0</v>
      </c>
      <c r="V64" s="43">
        <f>IF(U64&lt;(0.5),1,0)</f>
        <v>1</v>
      </c>
      <c r="W64" s="43">
        <f>IF(V64+V63=1,0.5*M68-M63,M64*V64)</f>
        <v>0</v>
      </c>
      <c r="X64" s="42">
        <f t="shared" ref="X64:X67" si="70">IF(J64&gt;0,T64/J64,0)</f>
        <v>0</v>
      </c>
      <c r="Y64" s="42">
        <f>MIN(W64,T64)</f>
        <v>0</v>
      </c>
      <c r="Z64" s="46">
        <f>N64*K64*L64*T64/1000</f>
        <v>0</v>
      </c>
      <c r="AA64" s="46">
        <f t="shared" ref="AA64:AA67" si="71">IF(N64&gt;0,Z64/N64,0)</f>
        <v>0</v>
      </c>
      <c r="AB64" s="47"/>
      <c r="AC64" s="60"/>
      <c r="AD64" s="21"/>
    </row>
    <row r="65" spans="1:42" x14ac:dyDescent="0.25">
      <c r="A65" s="1">
        <v>194</v>
      </c>
      <c r="B65" s="1" t="s">
        <v>57</v>
      </c>
      <c r="D65" s="21"/>
      <c r="E65" s="151"/>
      <c r="F65" s="21"/>
      <c r="H65" s="144"/>
      <c r="I65" s="140">
        <f>I58</f>
        <v>0</v>
      </c>
      <c r="J65" s="141">
        <f t="shared" ref="J65:M65" si="72">J58</f>
        <v>9.9999999999999995E-8</v>
      </c>
      <c r="K65" s="141">
        <f t="shared" si="72"/>
        <v>9.9999999999999995E-8</v>
      </c>
      <c r="L65" s="141">
        <f t="shared" si="72"/>
        <v>9.9999999999999995E-8</v>
      </c>
      <c r="M65" s="142">
        <f t="shared" si="72"/>
        <v>0</v>
      </c>
      <c r="N65" s="143">
        <f t="shared" si="67"/>
        <v>0</v>
      </c>
      <c r="O65" s="3">
        <f>O64+Q65</f>
        <v>0</v>
      </c>
      <c r="P65" s="3">
        <f t="shared" si="68"/>
        <v>0</v>
      </c>
      <c r="Q65" s="3">
        <f t="shared" ref="Q65:Q67" si="73">IF(M65&gt;0,M65/J65,0)</f>
        <v>0</v>
      </c>
      <c r="R65" s="10">
        <f>IF(O65&gt;0.25,0,1)</f>
        <v>1</v>
      </c>
      <c r="S65" s="11">
        <f t="shared" si="69"/>
        <v>1</v>
      </c>
      <c r="T65" s="42">
        <f>IF(S65*M65&gt;0.1-T64-T63,0.1-T64-T63,S65*M65)</f>
        <v>0</v>
      </c>
      <c r="U65" s="42">
        <f>(M63+M64+M65)/M68</f>
        <v>0</v>
      </c>
      <c r="V65" s="43">
        <f>IF(U65&lt;(0.5),1,0)</f>
        <v>1</v>
      </c>
      <c r="W65" s="43">
        <f>IF(V65+V64=1,0.5*M68-M64-M63,M65*V65)</f>
        <v>0</v>
      </c>
      <c r="X65" s="42">
        <f t="shared" si="70"/>
        <v>0</v>
      </c>
      <c r="Y65" s="42">
        <f t="shared" ref="Y65:Y67" si="74">MIN(W65,T65)</f>
        <v>0</v>
      </c>
      <c r="Z65" s="46">
        <f>N65*K65*L65*T65/1000</f>
        <v>0</v>
      </c>
      <c r="AA65" s="46">
        <f t="shared" si="71"/>
        <v>0</v>
      </c>
      <c r="AB65" s="47"/>
      <c r="AC65" s="60"/>
      <c r="AD65" s="21"/>
    </row>
    <row r="66" spans="1:42" x14ac:dyDescent="0.25">
      <c r="D66" s="21"/>
      <c r="E66" s="151"/>
      <c r="F66" s="21"/>
      <c r="H66" s="144"/>
      <c r="I66" s="140">
        <f>I57</f>
        <v>0</v>
      </c>
      <c r="J66" s="141">
        <f t="shared" ref="J66:M66" si="75">J57</f>
        <v>9.9999999999999995E-8</v>
      </c>
      <c r="K66" s="141">
        <f t="shared" si="75"/>
        <v>9.9999999999999995E-8</v>
      </c>
      <c r="L66" s="141">
        <f t="shared" si="75"/>
        <v>9.9999999999999995E-8</v>
      </c>
      <c r="M66" s="142">
        <f t="shared" si="75"/>
        <v>0</v>
      </c>
      <c r="N66" s="143">
        <f t="shared" si="67"/>
        <v>0</v>
      </c>
      <c r="O66" s="3">
        <f>O65+Q66</f>
        <v>0</v>
      </c>
      <c r="P66" s="3">
        <f t="shared" si="68"/>
        <v>0</v>
      </c>
      <c r="Q66" s="3">
        <f t="shared" si="73"/>
        <v>0</v>
      </c>
      <c r="R66" s="10">
        <f>IF(O66&gt;0.25,0,1)</f>
        <v>1</v>
      </c>
      <c r="S66" s="11">
        <f t="shared" si="69"/>
        <v>1</v>
      </c>
      <c r="T66" s="42">
        <f>IF(S66*M66&gt;0.1-T65-T64-T63,0.1-T65-T64-T63,S66*M66)</f>
        <v>0</v>
      </c>
      <c r="U66" s="42">
        <f>(M63+M64+M65+M66)/M68</f>
        <v>0</v>
      </c>
      <c r="V66" s="43">
        <f>IF(U66&lt;(0.5),1,0)</f>
        <v>1</v>
      </c>
      <c r="W66" s="43">
        <f>IF(V66+V65=1,0.5*M68-M65-M64-M63,M66*V66)</f>
        <v>0</v>
      </c>
      <c r="X66" s="42">
        <f t="shared" si="70"/>
        <v>0</v>
      </c>
      <c r="Y66" s="42">
        <f t="shared" si="74"/>
        <v>0</v>
      </c>
      <c r="Z66" s="46">
        <f>N66*K66*L66*T66/1000</f>
        <v>0</v>
      </c>
      <c r="AA66" s="46">
        <f t="shared" si="71"/>
        <v>0</v>
      </c>
      <c r="AB66" s="47"/>
      <c r="AC66" s="60"/>
      <c r="AD66" s="21"/>
    </row>
    <row r="67" spans="1:42" x14ac:dyDescent="0.25">
      <c r="A67" s="73" t="s">
        <v>152</v>
      </c>
      <c r="B67" s="73"/>
      <c r="D67" s="21"/>
      <c r="E67" s="151"/>
      <c r="F67" s="21"/>
      <c r="H67" s="144"/>
      <c r="I67" s="140">
        <f>I56</f>
        <v>0</v>
      </c>
      <c r="J67" s="141">
        <f t="shared" ref="J67:M67" si="76">J56</f>
        <v>9.9999999999999995E-8</v>
      </c>
      <c r="K67" s="141">
        <f t="shared" si="76"/>
        <v>9.9999999999999995E-8</v>
      </c>
      <c r="L67" s="141">
        <f t="shared" si="76"/>
        <v>9.9999999999999995E-8</v>
      </c>
      <c r="M67" s="142">
        <f t="shared" si="76"/>
        <v>0</v>
      </c>
      <c r="N67" s="143">
        <f t="shared" si="67"/>
        <v>0</v>
      </c>
      <c r="O67" s="3">
        <f>O66+Q67</f>
        <v>0</v>
      </c>
      <c r="P67" s="3">
        <f t="shared" si="68"/>
        <v>0</v>
      </c>
      <c r="Q67" s="3">
        <f t="shared" si="73"/>
        <v>0</v>
      </c>
      <c r="R67" s="10">
        <f>IF(O67&gt;0.25,0,1)</f>
        <v>1</v>
      </c>
      <c r="S67" s="11">
        <f t="shared" si="69"/>
        <v>1</v>
      </c>
      <c r="T67" s="42">
        <f>IF(S67*M67&gt;0.1-T66-T65-T64-T63,0.1-T66-T65-T64-T63,S67*M67)</f>
        <v>0</v>
      </c>
      <c r="U67" s="42">
        <f>(M63+M64+M65+M66+M67)/M68</f>
        <v>0</v>
      </c>
      <c r="V67" s="43">
        <f>IF(U67&lt;(0.5),1,0)</f>
        <v>1</v>
      </c>
      <c r="W67" s="43">
        <f>IF(V67+V66=1,0.5*M68-M66-M65-M64-M63,M67*V67)</f>
        <v>0</v>
      </c>
      <c r="X67" s="42">
        <f t="shared" si="70"/>
        <v>0</v>
      </c>
      <c r="Y67" s="42">
        <f t="shared" si="74"/>
        <v>0</v>
      </c>
      <c r="Z67" s="46">
        <f>N67*K67*L67*T67/1000</f>
        <v>0</v>
      </c>
      <c r="AA67" s="46">
        <f t="shared" si="71"/>
        <v>0</v>
      </c>
      <c r="AB67" s="47"/>
      <c r="AC67" s="60"/>
      <c r="AD67" s="21"/>
    </row>
    <row r="68" spans="1:42" x14ac:dyDescent="0.25">
      <c r="A68" s="1">
        <v>200</v>
      </c>
      <c r="B68" s="1" t="s">
        <v>60</v>
      </c>
      <c r="D68" s="21"/>
      <c r="E68" s="21"/>
      <c r="F68" s="21"/>
      <c r="H68" s="55"/>
      <c r="I68" s="55"/>
      <c r="J68" s="56"/>
      <c r="K68" s="57"/>
      <c r="L68" s="56"/>
      <c r="M68" s="137">
        <f>SUM(M63:M67)+0.00000000000000001</f>
        <v>1.0000000000000001E-17</v>
      </c>
      <c r="N68" s="49">
        <f>N63</f>
        <v>0</v>
      </c>
      <c r="O68" s="57"/>
      <c r="P68" s="137">
        <f>SUM(P63:P67)</f>
        <v>0</v>
      </c>
      <c r="Q68" s="137">
        <f>SUM(Q63:Q67)</f>
        <v>0</v>
      </c>
      <c r="R68" s="57"/>
      <c r="S68" s="57"/>
      <c r="T68" s="137">
        <f>SUM(T63:T67)</f>
        <v>0</v>
      </c>
      <c r="U68" s="137"/>
      <c r="V68" s="138">
        <f>W68/M68</f>
        <v>0</v>
      </c>
      <c r="W68" s="137">
        <f>SUM(W63:W67)</f>
        <v>0</v>
      </c>
      <c r="X68" s="137">
        <f>SUM(X63:X67)</f>
        <v>0</v>
      </c>
      <c r="Y68" s="137"/>
      <c r="Z68" s="58">
        <f>SUM(Z63:Z67)</f>
        <v>0</v>
      </c>
      <c r="AA68" s="58">
        <f>IF(N68&gt;0,Z68/N68,0)</f>
        <v>0</v>
      </c>
      <c r="AB68" s="58">
        <f>Z68/$L$5</f>
        <v>0</v>
      </c>
      <c r="AC68" s="60"/>
      <c r="AD68" s="21"/>
    </row>
    <row r="69" spans="1:42" x14ac:dyDescent="0.25">
      <c r="A69" s="1">
        <v>201</v>
      </c>
      <c r="B69" s="1" t="s">
        <v>61</v>
      </c>
      <c r="D69" s="21"/>
      <c r="E69" s="21"/>
      <c r="F69" s="21"/>
      <c r="H69" s="60"/>
      <c r="I69" s="61"/>
      <c r="J69" s="62"/>
      <c r="K69" s="63"/>
      <c r="L69" s="62"/>
      <c r="M69" s="3"/>
      <c r="N69" s="2"/>
      <c r="O69" s="63"/>
      <c r="P69" s="3"/>
      <c r="Q69" s="3"/>
      <c r="R69" s="63"/>
      <c r="S69" s="63"/>
      <c r="T69" s="3"/>
      <c r="U69" s="3"/>
      <c r="V69" s="11"/>
      <c r="W69" s="3"/>
      <c r="X69" s="3"/>
      <c r="Y69" s="36"/>
      <c r="Z69" s="9"/>
      <c r="AA69" s="9"/>
      <c r="AB69" s="9"/>
      <c r="AC69" s="60"/>
      <c r="AD69" s="21"/>
    </row>
    <row r="70" spans="1:42" ht="14.45" customHeight="1" x14ac:dyDescent="0.25">
      <c r="A70" s="1">
        <v>202</v>
      </c>
      <c r="B70" s="1" t="s">
        <v>62</v>
      </c>
      <c r="D70" s="21"/>
      <c r="E70" s="151" t="s">
        <v>135</v>
      </c>
      <c r="F70" s="21"/>
      <c r="H70" s="55"/>
      <c r="I70" s="50" t="s">
        <v>209</v>
      </c>
      <c r="J70" s="51"/>
      <c r="K70" s="51"/>
      <c r="L70" s="51"/>
      <c r="M70" s="51"/>
      <c r="N70" s="51"/>
      <c r="O70" s="49"/>
      <c r="P70" s="49"/>
      <c r="Q70" s="49"/>
      <c r="R70" s="145">
        <v>1</v>
      </c>
      <c r="S70" s="146"/>
      <c r="T70" s="49"/>
      <c r="U70" s="49"/>
      <c r="V70" s="49"/>
      <c r="W70" s="49"/>
      <c r="X70" s="49"/>
      <c r="Y70" s="134" t="str">
        <f>I70</f>
        <v>.</v>
      </c>
      <c r="Z70" s="72">
        <f>Z76+Z83</f>
        <v>0</v>
      </c>
      <c r="AA70" s="72">
        <f>AA76+AA83</f>
        <v>0</v>
      </c>
      <c r="AB70" s="72">
        <f>AB76+AB83</f>
        <v>0</v>
      </c>
      <c r="AC70" s="60"/>
      <c r="AD70" s="21"/>
    </row>
    <row r="71" spans="1:42" x14ac:dyDescent="0.25">
      <c r="D71" s="21"/>
      <c r="E71" s="151"/>
      <c r="F71" s="21"/>
      <c r="H71" s="67"/>
      <c r="I71" s="135" cm="1">
        <f t="array" ref="I71">_xlfn.XLOOKUP(H71,MateriaalDatabank!$A$1:A360,MateriaalDatabank!$B$1:B360,0.0000001)</f>
        <v>0</v>
      </c>
      <c r="J71" s="135" cm="1">
        <f t="array" ref="J71">_xlfn.XLOOKUP(I71,MateriaalDatabank!$B$1:B360,MateriaalDatabank!$C$1:C360,0.0000001)</f>
        <v>9.9999999999999995E-8</v>
      </c>
      <c r="K71" s="135" cm="1">
        <f t="array" ref="K71">_xlfn.XLOOKUP(I71,MateriaalDatabank!$B$1:B360,MateriaalDatabank!$D$1:D360,0.0000001)</f>
        <v>9.9999999999999995E-8</v>
      </c>
      <c r="L71" s="135" cm="1">
        <f t="array" ref="L71">_xlfn.XLOOKUP(I71,MateriaalDatabank!$B$1:B360,MateriaalDatabank!$E$1:E360,0.0000001)</f>
        <v>9.9999999999999995E-8</v>
      </c>
      <c r="M71" s="128"/>
      <c r="N71" s="130"/>
      <c r="O71" s="36">
        <f>Q71</f>
        <v>0</v>
      </c>
      <c r="P71" s="36">
        <f>IF(S71&gt;0,S71*M71,0)</f>
        <v>0</v>
      </c>
      <c r="Q71" s="36">
        <f>IF(M71&gt;0,M71/J71,0)</f>
        <v>0</v>
      </c>
      <c r="R71" s="37">
        <f>IF(O71&gt;0.25,0,1)</f>
        <v>1</v>
      </c>
      <c r="S71" s="38">
        <f>IF((R71+R70)=1,((0.25-O70)*J71)/M71,R71)</f>
        <v>1</v>
      </c>
      <c r="T71" s="40">
        <f>IF(S71*M71&gt;0.1,0.1,S71*M71)</f>
        <v>0</v>
      </c>
      <c r="U71" s="40">
        <f>M71/M76</f>
        <v>0</v>
      </c>
      <c r="V71" s="41">
        <f>IF(U71&lt;(0.5),1,0)</f>
        <v>1</v>
      </c>
      <c r="W71" s="41">
        <f>IF(V71+V70=0,0.5*M76,M71*V71)</f>
        <v>0</v>
      </c>
      <c r="X71" s="40">
        <f>IF(J71&gt;0,T71/J71,0)</f>
        <v>0</v>
      </c>
      <c r="Y71" s="40">
        <f>MIN(W71,T71)</f>
        <v>0</v>
      </c>
      <c r="Z71" s="44">
        <f>N71*K71*L71*T71/1000</f>
        <v>0</v>
      </c>
      <c r="AA71" s="44">
        <f>IF(N71&gt;0,Z71/N71,0)</f>
        <v>0</v>
      </c>
      <c r="AB71" s="45"/>
      <c r="AC71" s="60"/>
      <c r="AD71" s="21"/>
      <c r="AK71" s="12"/>
      <c r="AL71" s="12"/>
      <c r="AN71" s="13"/>
      <c r="AO71" s="13"/>
      <c r="AP71" s="13"/>
    </row>
    <row r="72" spans="1:42" x14ac:dyDescent="0.25">
      <c r="A72" s="73" t="s">
        <v>153</v>
      </c>
      <c r="B72" s="73"/>
      <c r="D72" s="21"/>
      <c r="E72" s="151"/>
      <c r="F72" s="21"/>
      <c r="H72" s="67"/>
      <c r="I72" s="135" cm="1">
        <f t="array" ref="I72">_xlfn.XLOOKUP(H72,MateriaalDatabank!$A$1:A361,MateriaalDatabank!$B$1:B361,0.0000001)</f>
        <v>0</v>
      </c>
      <c r="J72" s="135" cm="1">
        <f t="array" ref="J72">_xlfn.XLOOKUP(I72,MateriaalDatabank!$B$1:B361,MateriaalDatabank!$C$1:C361,0.0000001)</f>
        <v>9.9999999999999995E-8</v>
      </c>
      <c r="K72" s="135" cm="1">
        <f t="array" ref="K72">_xlfn.XLOOKUP(I72,MateriaalDatabank!$B$1:B361,MateriaalDatabank!$D$1:D361,0.0000001)</f>
        <v>9.9999999999999995E-8</v>
      </c>
      <c r="L72" s="135" cm="1">
        <f t="array" ref="L72">_xlfn.XLOOKUP(I72,MateriaalDatabank!$B$1:B361,MateriaalDatabank!$E$1:E361,0.0000001)</f>
        <v>9.9999999999999995E-8</v>
      </c>
      <c r="M72" s="129"/>
      <c r="N72" s="136">
        <f>N71</f>
        <v>0</v>
      </c>
      <c r="O72" s="3">
        <f>O71+Q72</f>
        <v>0</v>
      </c>
      <c r="P72" s="3">
        <f t="shared" ref="P72:P75" si="77">IF(S72&gt;0,S72*M72,0)</f>
        <v>0</v>
      </c>
      <c r="Q72" s="3">
        <f>IF(M72&gt;0,M72/J72,0)</f>
        <v>0</v>
      </c>
      <c r="R72" s="10">
        <f>IF(O72&gt;0.25,0,1)</f>
        <v>1</v>
      </c>
      <c r="S72" s="11">
        <f t="shared" ref="S72:S75" si="78">IF((R72+R71)=1,((0.25-O71)*J72)/M72,R72)</f>
        <v>1</v>
      </c>
      <c r="T72" s="42">
        <f>IF(S72*M72&gt;0.1-T71,0.1-T71,S72*M72)</f>
        <v>0</v>
      </c>
      <c r="U72" s="42">
        <f>(M71+M72)/M76</f>
        <v>0</v>
      </c>
      <c r="V72" s="43">
        <f>IF(U72&lt;(0.5),1,0)</f>
        <v>1</v>
      </c>
      <c r="W72" s="43">
        <f>IF(V72+V71=1,0.5*M76-M71,M72*V72)</f>
        <v>0</v>
      </c>
      <c r="X72" s="42">
        <f t="shared" ref="X72:X75" si="79">IF(J72&gt;0,T72/J72,0)</f>
        <v>0</v>
      </c>
      <c r="Y72" s="42">
        <f>MIN(W72,T72)</f>
        <v>0</v>
      </c>
      <c r="Z72" s="46">
        <f>N72*K72*L72*T72/1000</f>
        <v>0</v>
      </c>
      <c r="AA72" s="46">
        <f t="shared" ref="AA72:AA75" si="80">IF(N72&gt;0,Z72/N72,0)</f>
        <v>0</v>
      </c>
      <c r="AB72" s="47"/>
      <c r="AC72" s="60"/>
      <c r="AD72" s="21"/>
    </row>
    <row r="73" spans="1:42" x14ac:dyDescent="0.25">
      <c r="A73" s="1">
        <v>210</v>
      </c>
      <c r="B73" s="1" t="s">
        <v>64</v>
      </c>
      <c r="D73" s="21"/>
      <c r="E73" s="151"/>
      <c r="F73" s="21"/>
      <c r="H73" s="67"/>
      <c r="I73" s="135" cm="1">
        <f t="array" ref="I73">_xlfn.XLOOKUP(H73,MateriaalDatabank!$A$1:A362,MateriaalDatabank!$B$1:B362,0.0000001)</f>
        <v>0</v>
      </c>
      <c r="J73" s="135" cm="1">
        <f t="array" ref="J73">_xlfn.XLOOKUP(I73,MateriaalDatabank!$B$1:B362,MateriaalDatabank!$C$1:C362,0.0000001)</f>
        <v>9.9999999999999995E-8</v>
      </c>
      <c r="K73" s="135" cm="1">
        <f t="array" ref="K73">_xlfn.XLOOKUP(I73,MateriaalDatabank!$B$1:B362,MateriaalDatabank!$D$1:D362,0.0000001)</f>
        <v>9.9999999999999995E-8</v>
      </c>
      <c r="L73" s="135" cm="1">
        <f t="array" ref="L73">_xlfn.XLOOKUP(I73,MateriaalDatabank!$B$1:B362,MateriaalDatabank!$E$1:E362,0.0000001)</f>
        <v>9.9999999999999995E-8</v>
      </c>
      <c r="M73" s="129"/>
      <c r="N73" s="136">
        <f>N72</f>
        <v>0</v>
      </c>
      <c r="O73" s="3">
        <f>O72+Q73</f>
        <v>0</v>
      </c>
      <c r="P73" s="3">
        <f t="shared" si="77"/>
        <v>0</v>
      </c>
      <c r="Q73" s="3">
        <f t="shared" ref="Q73:Q75" si="81">IF(M73&gt;0,M73/J73,0)</f>
        <v>0</v>
      </c>
      <c r="R73" s="10">
        <f>IF(O73&gt;0.25,0,1)</f>
        <v>1</v>
      </c>
      <c r="S73" s="11">
        <f t="shared" si="78"/>
        <v>1</v>
      </c>
      <c r="T73" s="42">
        <f>IF(S73*M73&gt;0.1-T72-T71,0.1-T72-T71,S73*M73)</f>
        <v>0</v>
      </c>
      <c r="U73" s="42">
        <f>(M71+M72+M73)/M76</f>
        <v>0</v>
      </c>
      <c r="V73" s="43">
        <f>IF(U73&lt;(0.5),1,0)</f>
        <v>1</v>
      </c>
      <c r="W73" s="43">
        <f>IF(V73+V72=1,0.5*M76-M72-M71,M73*V73)</f>
        <v>0</v>
      </c>
      <c r="X73" s="42">
        <f t="shared" si="79"/>
        <v>0</v>
      </c>
      <c r="Y73" s="42">
        <f t="shared" ref="Y73:Y75" si="82">MIN(W73,T73)</f>
        <v>0</v>
      </c>
      <c r="Z73" s="46">
        <f>N73*K73*L73*T73/1000</f>
        <v>0</v>
      </c>
      <c r="AA73" s="46">
        <f t="shared" si="80"/>
        <v>0</v>
      </c>
      <c r="AB73" s="47"/>
      <c r="AC73" s="60"/>
      <c r="AD73" s="21"/>
    </row>
    <row r="74" spans="1:42" x14ac:dyDescent="0.25">
      <c r="A74" s="1">
        <v>211</v>
      </c>
      <c r="B74" s="1" t="s">
        <v>65</v>
      </c>
      <c r="D74" s="21"/>
      <c r="E74" s="151"/>
      <c r="F74" s="21"/>
      <c r="H74" s="67"/>
      <c r="I74" s="135" cm="1">
        <f t="array" ref="I74">_xlfn.XLOOKUP(H74,MateriaalDatabank!$A$1:A363,MateriaalDatabank!$B$1:B363,0.0000001)</f>
        <v>0</v>
      </c>
      <c r="J74" s="135" cm="1">
        <f t="array" ref="J74">_xlfn.XLOOKUP(I74,MateriaalDatabank!$B$1:B363,MateriaalDatabank!$C$1:C363,0.0000001)</f>
        <v>9.9999999999999995E-8</v>
      </c>
      <c r="K74" s="135" cm="1">
        <f t="array" ref="K74">_xlfn.XLOOKUP(I74,MateriaalDatabank!$B$1:B363,MateriaalDatabank!$D$1:D363,0.0000001)</f>
        <v>9.9999999999999995E-8</v>
      </c>
      <c r="L74" s="135" cm="1">
        <f t="array" ref="L74">_xlfn.XLOOKUP(I74,MateriaalDatabank!$B$1:B363,MateriaalDatabank!$E$1:E363,0.0000001)</f>
        <v>9.9999999999999995E-8</v>
      </c>
      <c r="M74" s="129"/>
      <c r="N74" s="136">
        <f t="shared" ref="N74:N75" si="83">N73</f>
        <v>0</v>
      </c>
      <c r="O74" s="3">
        <f>O73+Q74</f>
        <v>0</v>
      </c>
      <c r="P74" s="3">
        <f t="shared" si="77"/>
        <v>0</v>
      </c>
      <c r="Q74" s="3">
        <f t="shared" si="81"/>
        <v>0</v>
      </c>
      <c r="R74" s="10">
        <f>IF(O74&gt;0.25,0,1)</f>
        <v>1</v>
      </c>
      <c r="S74" s="11">
        <f t="shared" si="78"/>
        <v>1</v>
      </c>
      <c r="T74" s="42">
        <f>IF(S74*M74&gt;0.1-T73-T72-T71,0.1-T73-T72-T71,S74*M74)</f>
        <v>0</v>
      </c>
      <c r="U74" s="42">
        <f>(M71+M72+M73+M74)/M76</f>
        <v>0</v>
      </c>
      <c r="V74" s="43">
        <f>IF(U74&lt;(0.5),1,0)</f>
        <v>1</v>
      </c>
      <c r="W74" s="43">
        <f>IF(V74+V73=1,0.5*M76-M73-M72-M71,M74*V74)</f>
        <v>0</v>
      </c>
      <c r="X74" s="42">
        <f t="shared" si="79"/>
        <v>0</v>
      </c>
      <c r="Y74" s="42">
        <f t="shared" si="82"/>
        <v>0</v>
      </c>
      <c r="Z74" s="46">
        <f>N74*K74*L74*T74/1000</f>
        <v>0</v>
      </c>
      <c r="AA74" s="46">
        <f t="shared" si="80"/>
        <v>0</v>
      </c>
      <c r="AB74" s="47"/>
      <c r="AC74" s="60"/>
      <c r="AD74" s="21"/>
    </row>
    <row r="75" spans="1:42" x14ac:dyDescent="0.25">
      <c r="D75" s="21"/>
      <c r="E75" s="151"/>
      <c r="F75" s="21"/>
      <c r="H75" s="67"/>
      <c r="I75" s="135" cm="1">
        <f t="array" ref="I75">_xlfn.XLOOKUP(H75,MateriaalDatabank!$A$1:A364,MateriaalDatabank!$B$1:B364,0.0000001)</f>
        <v>0</v>
      </c>
      <c r="J75" s="135" cm="1">
        <f t="array" ref="J75">_xlfn.XLOOKUP(I75,MateriaalDatabank!$B$1:B364,MateriaalDatabank!$C$1:C364,0.0000001)</f>
        <v>9.9999999999999995E-8</v>
      </c>
      <c r="K75" s="135" cm="1">
        <f t="array" ref="K75">_xlfn.XLOOKUP(I75,MateriaalDatabank!$B$1:B364,MateriaalDatabank!$D$1:D364,0.0000001)</f>
        <v>9.9999999999999995E-8</v>
      </c>
      <c r="L75" s="135" cm="1">
        <f t="array" ref="L75">_xlfn.XLOOKUP(I75,MateriaalDatabank!$B$1:B364,MateriaalDatabank!$E$1:E364,0.0000001)</f>
        <v>9.9999999999999995E-8</v>
      </c>
      <c r="M75" s="129"/>
      <c r="N75" s="136">
        <f t="shared" si="83"/>
        <v>0</v>
      </c>
      <c r="O75" s="3">
        <f>O74+Q75</f>
        <v>0</v>
      </c>
      <c r="P75" s="3">
        <f t="shared" si="77"/>
        <v>0</v>
      </c>
      <c r="Q75" s="3">
        <f t="shared" si="81"/>
        <v>0</v>
      </c>
      <c r="R75" s="10">
        <f>IF(O75&gt;0.25,0,1)</f>
        <v>1</v>
      </c>
      <c r="S75" s="11">
        <f t="shared" si="78"/>
        <v>1</v>
      </c>
      <c r="T75" s="42">
        <f>IF(S75*M75&gt;0.1-T74-T73-T72-T71,0.1-T74-T73-T72-T71,S75*M75)</f>
        <v>0</v>
      </c>
      <c r="U75" s="42">
        <f>(M71+M72+M73+M74+M75)/M76</f>
        <v>0</v>
      </c>
      <c r="V75" s="43">
        <f>IF(U75&lt;(0.5),1,0)</f>
        <v>1</v>
      </c>
      <c r="W75" s="43">
        <f>IF(V75+V74=1,0.5*M76-M74-M73-M72-M71,M75*V75)</f>
        <v>0</v>
      </c>
      <c r="X75" s="42">
        <f t="shared" si="79"/>
        <v>0</v>
      </c>
      <c r="Y75" s="42">
        <f t="shared" si="82"/>
        <v>0</v>
      </c>
      <c r="Z75" s="46">
        <f>N75*K75*L75*T75/1000</f>
        <v>0</v>
      </c>
      <c r="AA75" s="46">
        <f t="shared" si="80"/>
        <v>0</v>
      </c>
      <c r="AB75" s="47"/>
      <c r="AC75" s="60"/>
      <c r="AD75" s="21"/>
    </row>
    <row r="76" spans="1:42" x14ac:dyDescent="0.25">
      <c r="A76" s="73" t="s">
        <v>154</v>
      </c>
      <c r="B76" s="73"/>
      <c r="D76" s="21"/>
      <c r="E76" s="18"/>
      <c r="F76" s="21"/>
      <c r="H76" s="55"/>
      <c r="I76" s="55"/>
      <c r="J76" s="56"/>
      <c r="K76" s="57"/>
      <c r="L76" s="56"/>
      <c r="M76" s="137">
        <f>SUM(M71:M75)+0.00000000000000001</f>
        <v>1.0000000000000001E-17</v>
      </c>
      <c r="N76" s="49">
        <f>N71</f>
        <v>0</v>
      </c>
      <c r="O76" s="57"/>
      <c r="P76" s="137">
        <f>SUM(P71:P75)</f>
        <v>0</v>
      </c>
      <c r="Q76" s="137">
        <f>SUM(Q71:Q75)</f>
        <v>0</v>
      </c>
      <c r="R76" s="57"/>
      <c r="S76" s="57"/>
      <c r="T76" s="137">
        <f>SUM(T71:T75)</f>
        <v>0</v>
      </c>
      <c r="U76" s="137"/>
      <c r="V76" s="138">
        <f>W76/M76</f>
        <v>0</v>
      </c>
      <c r="W76" s="137">
        <f>SUM(W71:W75)</f>
        <v>0</v>
      </c>
      <c r="X76" s="137">
        <f>SUM(X71:X75)</f>
        <v>0</v>
      </c>
      <c r="Y76" s="137"/>
      <c r="Z76" s="58">
        <f>SUM(Z71:Z75)</f>
        <v>0</v>
      </c>
      <c r="AA76" s="58">
        <f>IF(N76&gt;0,Z76/N76,0)</f>
        <v>0</v>
      </c>
      <c r="AB76" s="58">
        <f>Z76/$L$5</f>
        <v>0</v>
      </c>
      <c r="AC76" s="60"/>
      <c r="AD76" s="21"/>
    </row>
    <row r="77" spans="1:42" ht="14.45" customHeight="1" x14ac:dyDescent="0.25">
      <c r="A77" s="1">
        <v>220</v>
      </c>
      <c r="B77" s="1" t="s">
        <v>67</v>
      </c>
      <c r="D77" s="21"/>
      <c r="E77" s="151" t="s">
        <v>136</v>
      </c>
      <c r="F77" s="83" t="s">
        <v>163</v>
      </c>
      <c r="H77" s="68">
        <v>0</v>
      </c>
      <c r="I77" s="52" t="str">
        <f>I70 &amp; " &lt;-- onderzijde (gespiegelde weergave)"</f>
        <v>. &lt;-- onderzijde (gespiegelde weergave)</v>
      </c>
      <c r="J77" s="53"/>
      <c r="K77" s="53"/>
      <c r="L77" s="53"/>
      <c r="M77" s="53"/>
      <c r="N77" s="54"/>
      <c r="O77" s="2"/>
      <c r="P77" s="2"/>
      <c r="Q77" s="2"/>
      <c r="R77" s="139">
        <v>1</v>
      </c>
      <c r="S77" s="10"/>
      <c r="T77" s="42"/>
      <c r="U77" s="42"/>
      <c r="V77" s="43"/>
      <c r="W77" s="43"/>
      <c r="X77" s="42"/>
      <c r="Y77" s="42"/>
      <c r="Z77" s="48"/>
      <c r="AA77" s="48"/>
      <c r="AB77" s="48"/>
      <c r="AC77" s="60"/>
      <c r="AD77" s="21"/>
    </row>
    <row r="78" spans="1:42" x14ac:dyDescent="0.25">
      <c r="A78" s="1">
        <v>221</v>
      </c>
      <c r="B78" s="1" t="s">
        <v>1</v>
      </c>
      <c r="D78" s="21"/>
      <c r="E78" s="151"/>
      <c r="F78" s="21"/>
      <c r="H78" s="53"/>
      <c r="I78" s="140">
        <f>I75</f>
        <v>0</v>
      </c>
      <c r="J78" s="141">
        <f t="shared" ref="J78:M78" si="84">J75</f>
        <v>9.9999999999999995E-8</v>
      </c>
      <c r="K78" s="141">
        <f t="shared" si="84"/>
        <v>9.9999999999999995E-8</v>
      </c>
      <c r="L78" s="141">
        <f t="shared" si="84"/>
        <v>9.9999999999999995E-8</v>
      </c>
      <c r="M78" s="142">
        <f t="shared" si="84"/>
        <v>0</v>
      </c>
      <c r="N78" s="143">
        <f>N71*$H$77</f>
        <v>0</v>
      </c>
      <c r="O78" s="3">
        <f>Q78</f>
        <v>0</v>
      </c>
      <c r="P78" s="3">
        <f>IF(S78&gt;0,S78*M78,0)</f>
        <v>0</v>
      </c>
      <c r="Q78" s="3">
        <f>IF(M78&gt;0,M78/J78,0)</f>
        <v>0</v>
      </c>
      <c r="R78" s="10">
        <f>IF(O78&gt;0.25,0,1)</f>
        <v>1</v>
      </c>
      <c r="S78" s="11">
        <f>IF((R78+R77)=1,((0.25-O77)*J78)/M78,R78)</f>
        <v>1</v>
      </c>
      <c r="T78" s="42">
        <f>IF(S78*M78&gt;0.1,0.1,S78*M78)</f>
        <v>0</v>
      </c>
      <c r="U78" s="42">
        <f>M78/M83</f>
        <v>0</v>
      </c>
      <c r="V78" s="43">
        <f>IF(U78&lt;(0.5),1,0)</f>
        <v>1</v>
      </c>
      <c r="W78" s="41">
        <f>IF(V78+V77=0,0.5*M83,M78*V78)</f>
        <v>0</v>
      </c>
      <c r="X78" s="42">
        <f>IF(J78&gt;0,T78/J78,0)</f>
        <v>0</v>
      </c>
      <c r="Y78" s="42">
        <f>MIN(W78,T78)</f>
        <v>0</v>
      </c>
      <c r="Z78" s="46">
        <f>N78*K78*L78*T78/1000</f>
        <v>0</v>
      </c>
      <c r="AA78" s="46">
        <f>IF(N78&gt;0,Z78/N78,0)</f>
        <v>0</v>
      </c>
      <c r="AB78" s="47"/>
      <c r="AC78" s="60"/>
      <c r="AD78" s="21"/>
      <c r="AK78" s="12"/>
      <c r="AL78" s="12"/>
      <c r="AN78" s="13"/>
      <c r="AO78" s="13"/>
      <c r="AP78" s="13"/>
    </row>
    <row r="79" spans="1:42" x14ac:dyDescent="0.25">
      <c r="A79" s="1">
        <v>222</v>
      </c>
      <c r="B79" s="1" t="s">
        <v>68</v>
      </c>
      <c r="D79" s="21"/>
      <c r="E79" s="151"/>
      <c r="F79" s="21"/>
      <c r="H79" s="144"/>
      <c r="I79" s="140">
        <f>I74</f>
        <v>0</v>
      </c>
      <c r="J79" s="141">
        <f t="shared" ref="J79:M79" si="85">J74</f>
        <v>9.9999999999999995E-8</v>
      </c>
      <c r="K79" s="141">
        <f t="shared" si="85"/>
        <v>9.9999999999999995E-8</v>
      </c>
      <c r="L79" s="141">
        <f t="shared" si="85"/>
        <v>9.9999999999999995E-8</v>
      </c>
      <c r="M79" s="142">
        <f t="shared" si="85"/>
        <v>0</v>
      </c>
      <c r="N79" s="143">
        <f t="shared" ref="N79:N82" si="86">N72*$H$77</f>
        <v>0</v>
      </c>
      <c r="O79" s="3">
        <f>O78+Q79</f>
        <v>0</v>
      </c>
      <c r="P79" s="3">
        <f t="shared" ref="P79:P82" si="87">IF(S79&gt;0,S79*M79,0)</f>
        <v>0</v>
      </c>
      <c r="Q79" s="3">
        <f>IF(M79&gt;0,M79/J79,0)</f>
        <v>0</v>
      </c>
      <c r="R79" s="10">
        <f>IF(O79&gt;0.25,0,1)</f>
        <v>1</v>
      </c>
      <c r="S79" s="11">
        <f t="shared" ref="S79:S82" si="88">IF((R79+R78)=1,((0.25-O78)*J79)/M79,R79)</f>
        <v>1</v>
      </c>
      <c r="T79" s="42">
        <f>IF(S79*M79&gt;0.1-T78,0.1-T78,S79*M79)</f>
        <v>0</v>
      </c>
      <c r="U79" s="42">
        <f>(M78+M79)/M83</f>
        <v>0</v>
      </c>
      <c r="V79" s="43">
        <f>IF(U79&lt;(0.5),1,0)</f>
        <v>1</v>
      </c>
      <c r="W79" s="43">
        <f>IF(V79+V78=1,0.5*M83-M78,M79*V79)</f>
        <v>0</v>
      </c>
      <c r="X79" s="42">
        <f t="shared" ref="X79:X82" si="89">IF(J79&gt;0,T79/J79,0)</f>
        <v>0</v>
      </c>
      <c r="Y79" s="42">
        <f>MIN(W79,T79)</f>
        <v>0</v>
      </c>
      <c r="Z79" s="46">
        <f>N79*K79*L79*T79/1000</f>
        <v>0</v>
      </c>
      <c r="AA79" s="46">
        <f t="shared" ref="AA79:AA82" si="90">IF(N79&gt;0,Z79/N79,0)</f>
        <v>0</v>
      </c>
      <c r="AB79" s="47"/>
      <c r="AC79" s="60"/>
      <c r="AD79" s="21"/>
    </row>
    <row r="80" spans="1:42" x14ac:dyDescent="0.25">
      <c r="A80" s="1">
        <v>223</v>
      </c>
      <c r="B80" s="1" t="s">
        <v>82</v>
      </c>
      <c r="D80" s="21"/>
      <c r="E80" s="151"/>
      <c r="F80" s="21"/>
      <c r="H80" s="144"/>
      <c r="I80" s="140">
        <f>I73</f>
        <v>0</v>
      </c>
      <c r="J80" s="141">
        <f t="shared" ref="J80:M80" si="91">J73</f>
        <v>9.9999999999999995E-8</v>
      </c>
      <c r="K80" s="141">
        <f t="shared" si="91"/>
        <v>9.9999999999999995E-8</v>
      </c>
      <c r="L80" s="141">
        <f t="shared" si="91"/>
        <v>9.9999999999999995E-8</v>
      </c>
      <c r="M80" s="142">
        <f t="shared" si="91"/>
        <v>0</v>
      </c>
      <c r="N80" s="143">
        <f t="shared" si="86"/>
        <v>0</v>
      </c>
      <c r="O80" s="3">
        <f>O79+Q80</f>
        <v>0</v>
      </c>
      <c r="P80" s="3">
        <f t="shared" si="87"/>
        <v>0</v>
      </c>
      <c r="Q80" s="3">
        <f t="shared" ref="Q80:Q82" si="92">IF(M80&gt;0,M80/J80,0)</f>
        <v>0</v>
      </c>
      <c r="R80" s="10">
        <f>IF(O80&gt;0.25,0,1)</f>
        <v>1</v>
      </c>
      <c r="S80" s="11">
        <f t="shared" si="88"/>
        <v>1</v>
      </c>
      <c r="T80" s="42">
        <f>IF(S80*M80&gt;0.1-T79-T78,0.1-T79-T78,S80*M80)</f>
        <v>0</v>
      </c>
      <c r="U80" s="42">
        <f>(M78+M79+M80)/M83</f>
        <v>0</v>
      </c>
      <c r="V80" s="43">
        <f>IF(U80&lt;(0.5),1,0)</f>
        <v>1</v>
      </c>
      <c r="W80" s="43">
        <f>IF(V80+V79=1,0.5*M83-M79-M78,M80*V80)</f>
        <v>0</v>
      </c>
      <c r="X80" s="42">
        <f t="shared" si="89"/>
        <v>0</v>
      </c>
      <c r="Y80" s="42">
        <f t="shared" ref="Y80:Y82" si="93">MIN(W80,T80)</f>
        <v>0</v>
      </c>
      <c r="Z80" s="46">
        <f>N80*K80*L80*T80/1000</f>
        <v>0</v>
      </c>
      <c r="AA80" s="46">
        <f t="shared" si="90"/>
        <v>0</v>
      </c>
      <c r="AB80" s="47"/>
      <c r="AC80" s="60"/>
      <c r="AD80" s="21"/>
    </row>
    <row r="81" spans="1:42" x14ac:dyDescent="0.25">
      <c r="A81" s="1">
        <v>224</v>
      </c>
      <c r="B81" s="1" t="s">
        <v>83</v>
      </c>
      <c r="D81" s="21"/>
      <c r="E81" s="151"/>
      <c r="F81" s="21"/>
      <c r="H81" s="144"/>
      <c r="I81" s="140">
        <f>I72</f>
        <v>0</v>
      </c>
      <c r="J81" s="141">
        <f t="shared" ref="J81:M81" si="94">J72</f>
        <v>9.9999999999999995E-8</v>
      </c>
      <c r="K81" s="141">
        <f t="shared" si="94"/>
        <v>9.9999999999999995E-8</v>
      </c>
      <c r="L81" s="141">
        <f t="shared" si="94"/>
        <v>9.9999999999999995E-8</v>
      </c>
      <c r="M81" s="142">
        <f t="shared" si="94"/>
        <v>0</v>
      </c>
      <c r="N81" s="143">
        <f t="shared" si="86"/>
        <v>0</v>
      </c>
      <c r="O81" s="3">
        <f>O80+Q81</f>
        <v>0</v>
      </c>
      <c r="P81" s="3">
        <f t="shared" si="87"/>
        <v>0</v>
      </c>
      <c r="Q81" s="3">
        <f t="shared" si="92"/>
        <v>0</v>
      </c>
      <c r="R81" s="10">
        <f>IF(O81&gt;0.25,0,1)</f>
        <v>1</v>
      </c>
      <c r="S81" s="11">
        <f t="shared" si="88"/>
        <v>1</v>
      </c>
      <c r="T81" s="42">
        <f>IF(S81*M81&gt;0.1-T80-T79-T78,0.1-T80-T79-T78,S81*M81)</f>
        <v>0</v>
      </c>
      <c r="U81" s="42">
        <f>(M78+M79+M80+M81)/M83</f>
        <v>0</v>
      </c>
      <c r="V81" s="43">
        <f>IF(U81&lt;(0.5),1,0)</f>
        <v>1</v>
      </c>
      <c r="W81" s="43">
        <f>IF(V81+V80=1,0.5*M83-M80-M79-M78,M81*V81)</f>
        <v>0</v>
      </c>
      <c r="X81" s="42">
        <f t="shared" si="89"/>
        <v>0</v>
      </c>
      <c r="Y81" s="42">
        <f t="shared" si="93"/>
        <v>0</v>
      </c>
      <c r="Z81" s="46">
        <f>N81*K81*L81*T81/1000</f>
        <v>0</v>
      </c>
      <c r="AA81" s="46">
        <f t="shared" si="90"/>
        <v>0</v>
      </c>
      <c r="AB81" s="47"/>
      <c r="AC81" s="60"/>
      <c r="AD81" s="21"/>
    </row>
    <row r="82" spans="1:42" x14ac:dyDescent="0.25">
      <c r="D82" s="21"/>
      <c r="E82" s="151"/>
      <c r="F82" s="21"/>
      <c r="H82" s="144"/>
      <c r="I82" s="140">
        <f>I71</f>
        <v>0</v>
      </c>
      <c r="J82" s="141">
        <f t="shared" ref="J82:M82" si="95">J71</f>
        <v>9.9999999999999995E-8</v>
      </c>
      <c r="K82" s="141">
        <f t="shared" si="95"/>
        <v>9.9999999999999995E-8</v>
      </c>
      <c r="L82" s="141">
        <f t="shared" si="95"/>
        <v>9.9999999999999995E-8</v>
      </c>
      <c r="M82" s="142">
        <f t="shared" si="95"/>
        <v>0</v>
      </c>
      <c r="N82" s="143">
        <f t="shared" si="86"/>
        <v>0</v>
      </c>
      <c r="O82" s="3">
        <f>O81+Q82</f>
        <v>0</v>
      </c>
      <c r="P82" s="3">
        <f t="shared" si="87"/>
        <v>0</v>
      </c>
      <c r="Q82" s="3">
        <f t="shared" si="92"/>
        <v>0</v>
      </c>
      <c r="R82" s="10">
        <f>IF(O82&gt;0.25,0,1)</f>
        <v>1</v>
      </c>
      <c r="S82" s="11">
        <f t="shared" si="88"/>
        <v>1</v>
      </c>
      <c r="T82" s="42">
        <f>IF(S82*M82&gt;0.1-T81-T80-T79-T78,0.1-T81-T80-T79-T78,S82*M82)</f>
        <v>0</v>
      </c>
      <c r="U82" s="42">
        <f>(M78+M79+M80+M81+M82)/M83</f>
        <v>0</v>
      </c>
      <c r="V82" s="43">
        <f>IF(U82&lt;(0.5),1,0)</f>
        <v>1</v>
      </c>
      <c r="W82" s="43">
        <f>IF(V82+V81=1,0.5*M83-M81-M80-M79-M78,M82*V82)</f>
        <v>0</v>
      </c>
      <c r="X82" s="42">
        <f t="shared" si="89"/>
        <v>0</v>
      </c>
      <c r="Y82" s="42">
        <f t="shared" si="93"/>
        <v>0</v>
      </c>
      <c r="Z82" s="46">
        <f>N82*K82*L82*T82/1000</f>
        <v>0</v>
      </c>
      <c r="AA82" s="46">
        <f t="shared" si="90"/>
        <v>0</v>
      </c>
      <c r="AB82" s="47"/>
      <c r="AC82" s="60"/>
      <c r="AD82" s="21"/>
    </row>
    <row r="83" spans="1:42" x14ac:dyDescent="0.25">
      <c r="A83" s="73" t="s">
        <v>155</v>
      </c>
      <c r="B83" s="73"/>
      <c r="D83" s="21"/>
      <c r="E83" s="21"/>
      <c r="F83" s="21"/>
      <c r="H83" s="55"/>
      <c r="I83" s="55"/>
      <c r="J83" s="56"/>
      <c r="K83" s="57"/>
      <c r="L83" s="56"/>
      <c r="M83" s="137">
        <f>SUM(M78:M82)+0.00000000000000001</f>
        <v>1.0000000000000001E-17</v>
      </c>
      <c r="N83" s="49">
        <f>N78</f>
        <v>0</v>
      </c>
      <c r="O83" s="57"/>
      <c r="P83" s="137">
        <f>SUM(P78:P82)</f>
        <v>0</v>
      </c>
      <c r="Q83" s="137">
        <f>SUM(Q78:Q82)</f>
        <v>0</v>
      </c>
      <c r="R83" s="57"/>
      <c r="S83" s="57"/>
      <c r="T83" s="137">
        <f>SUM(T78:T82)</f>
        <v>0</v>
      </c>
      <c r="U83" s="137"/>
      <c r="V83" s="138">
        <f>W83/M83</f>
        <v>0</v>
      </c>
      <c r="W83" s="137">
        <f>SUM(W78:W82)</f>
        <v>0</v>
      </c>
      <c r="X83" s="137">
        <f>SUM(X78:X82)</f>
        <v>0</v>
      </c>
      <c r="Y83" s="137"/>
      <c r="Z83" s="58">
        <f>SUM(Z78:Z82)</f>
        <v>0</v>
      </c>
      <c r="AA83" s="58">
        <f>IF(N83&gt;0,Z83/N83,0)</f>
        <v>0</v>
      </c>
      <c r="AB83" s="58">
        <f>Z83/$L$5</f>
        <v>0</v>
      </c>
      <c r="AC83" s="60"/>
      <c r="AD83" s="21"/>
    </row>
    <row r="84" spans="1:42" x14ac:dyDescent="0.25">
      <c r="A84" s="1">
        <v>230</v>
      </c>
      <c r="B84" s="1" t="s">
        <v>70</v>
      </c>
      <c r="D84" s="21"/>
      <c r="E84" s="21"/>
      <c r="F84" s="21"/>
      <c r="H84" s="60"/>
      <c r="I84" s="61"/>
      <c r="J84" s="62"/>
      <c r="K84" s="63"/>
      <c r="L84" s="62"/>
      <c r="M84" s="3"/>
      <c r="N84" s="2"/>
      <c r="O84" s="63"/>
      <c r="P84" s="3"/>
      <c r="Q84" s="3"/>
      <c r="R84" s="63"/>
      <c r="S84" s="63"/>
      <c r="T84" s="3"/>
      <c r="U84" s="3"/>
      <c r="V84" s="11"/>
      <c r="W84" s="3"/>
      <c r="X84" s="3"/>
      <c r="Y84" s="36"/>
      <c r="Z84" s="9"/>
      <c r="AA84" s="9"/>
      <c r="AB84" s="9"/>
      <c r="AC84" s="60"/>
      <c r="AD84" s="21"/>
    </row>
    <row r="85" spans="1:42" ht="14.45" customHeight="1" x14ac:dyDescent="0.25">
      <c r="A85" s="1">
        <v>231</v>
      </c>
      <c r="B85" s="1" t="s">
        <v>71</v>
      </c>
      <c r="D85" s="21"/>
      <c r="E85" s="151" t="s">
        <v>135</v>
      </c>
      <c r="F85" s="21"/>
      <c r="H85" s="55"/>
      <c r="I85" s="50" t="s">
        <v>209</v>
      </c>
      <c r="J85" s="51"/>
      <c r="K85" s="51"/>
      <c r="L85" s="51"/>
      <c r="M85" s="51"/>
      <c r="N85" s="51"/>
      <c r="O85" s="49"/>
      <c r="P85" s="49"/>
      <c r="Q85" s="49"/>
      <c r="R85" s="145">
        <v>1</v>
      </c>
      <c r="S85" s="146"/>
      <c r="T85" s="49"/>
      <c r="U85" s="49"/>
      <c r="V85" s="49"/>
      <c r="W85" s="49"/>
      <c r="X85" s="49"/>
      <c r="Y85" s="134" t="str">
        <f>I85</f>
        <v>.</v>
      </c>
      <c r="Z85" s="72">
        <f>Z91+Z98</f>
        <v>0</v>
      </c>
      <c r="AA85" s="72">
        <f>AA91+AA98</f>
        <v>0</v>
      </c>
      <c r="AB85" s="72">
        <f>AB91+AB98</f>
        <v>0</v>
      </c>
      <c r="AC85" s="60"/>
      <c r="AD85" s="21"/>
    </row>
    <row r="86" spans="1:42" x14ac:dyDescent="0.25">
      <c r="A86" s="1">
        <v>232</v>
      </c>
      <c r="B86" s="1" t="s">
        <v>175</v>
      </c>
      <c r="D86" s="21"/>
      <c r="E86" s="151"/>
      <c r="F86" s="21"/>
      <c r="H86" s="67"/>
      <c r="I86" s="135" cm="1">
        <f t="array" ref="I86">_xlfn.XLOOKUP(H86,MateriaalDatabank!$A$1:A375,MateriaalDatabank!$B$1:B375,0.0000001)</f>
        <v>0</v>
      </c>
      <c r="J86" s="135" cm="1">
        <f t="array" ref="J86">_xlfn.XLOOKUP(I86,MateriaalDatabank!$B$1:B375,MateriaalDatabank!$C$1:C375,0.0000001)</f>
        <v>9.9999999999999995E-8</v>
      </c>
      <c r="K86" s="135" cm="1">
        <f t="array" ref="K86">_xlfn.XLOOKUP(I86,MateriaalDatabank!$B$1:B375,MateriaalDatabank!$D$1:D375,0.0000001)</f>
        <v>9.9999999999999995E-8</v>
      </c>
      <c r="L86" s="135" cm="1">
        <f t="array" ref="L86">_xlfn.XLOOKUP(I86,MateriaalDatabank!$B$1:B375,MateriaalDatabank!$E$1:E375,0.0000001)</f>
        <v>9.9999999999999995E-8</v>
      </c>
      <c r="M86" s="128"/>
      <c r="N86" s="130"/>
      <c r="O86" s="36">
        <f>Q86</f>
        <v>0</v>
      </c>
      <c r="P86" s="36">
        <f>IF(S86&gt;0,S86*M86,0)</f>
        <v>0</v>
      </c>
      <c r="Q86" s="36">
        <f>IF(M86&gt;0,M86/J86,0)</f>
        <v>0</v>
      </c>
      <c r="R86" s="37">
        <f>IF(O86&gt;0.25,0,1)</f>
        <v>1</v>
      </c>
      <c r="S86" s="38">
        <f>IF((R86+R85)=1,((0.25-O85)*J86)/M86,R86)</f>
        <v>1</v>
      </c>
      <c r="T86" s="40">
        <f>IF(S86*M86&gt;0.1,0.1,S86*M86)</f>
        <v>0</v>
      </c>
      <c r="U86" s="40">
        <f>M86/M91</f>
        <v>0</v>
      </c>
      <c r="V86" s="41">
        <f>IF(U86&lt;(0.5),1,0)</f>
        <v>1</v>
      </c>
      <c r="W86" s="41">
        <f>IF(V86+V85=0,0.5*M91,M86*V86)</f>
        <v>0</v>
      </c>
      <c r="X86" s="40">
        <f>IF(J86&gt;0,T86/J86,0)</f>
        <v>0</v>
      </c>
      <c r="Y86" s="40">
        <f>MIN(W86,T86)</f>
        <v>0</v>
      </c>
      <c r="Z86" s="44">
        <f>N86*K86*L86*T86/1000</f>
        <v>0</v>
      </c>
      <c r="AA86" s="44">
        <f>IF(N86&gt;0,Z86/N86,0)</f>
        <v>0</v>
      </c>
      <c r="AB86" s="45"/>
      <c r="AC86" s="60"/>
      <c r="AD86" s="21"/>
      <c r="AK86" s="12"/>
      <c r="AL86" s="12"/>
      <c r="AN86" s="13"/>
      <c r="AO86" s="13"/>
      <c r="AP86" s="13"/>
    </row>
    <row r="87" spans="1:42" x14ac:dyDescent="0.25">
      <c r="A87" s="1">
        <v>233</v>
      </c>
      <c r="B87" s="1" t="s">
        <v>72</v>
      </c>
      <c r="D87" s="21"/>
      <c r="E87" s="151"/>
      <c r="F87" s="21"/>
      <c r="H87" s="67"/>
      <c r="I87" s="135" cm="1">
        <f t="array" ref="I87">_xlfn.XLOOKUP(H87,MateriaalDatabank!$A$1:A376,MateriaalDatabank!$B$1:B376,0.0000001)</f>
        <v>0</v>
      </c>
      <c r="J87" s="135" cm="1">
        <f t="array" ref="J87">_xlfn.XLOOKUP(I87,MateriaalDatabank!$B$1:B376,MateriaalDatabank!$C$1:C376,0.0000001)</f>
        <v>9.9999999999999995E-8</v>
      </c>
      <c r="K87" s="135" cm="1">
        <f t="array" ref="K87">_xlfn.XLOOKUP(I87,MateriaalDatabank!$B$1:B376,MateriaalDatabank!$D$1:D376,0.0000001)</f>
        <v>9.9999999999999995E-8</v>
      </c>
      <c r="L87" s="135" cm="1">
        <f t="array" ref="L87">_xlfn.XLOOKUP(I87,MateriaalDatabank!$B$1:B376,MateriaalDatabank!$E$1:E376,0.0000001)</f>
        <v>9.9999999999999995E-8</v>
      </c>
      <c r="M87" s="129"/>
      <c r="N87" s="136">
        <f>N86</f>
        <v>0</v>
      </c>
      <c r="O87" s="3">
        <f>O86+Q87</f>
        <v>0</v>
      </c>
      <c r="P87" s="3">
        <f t="shared" ref="P87:P90" si="96">IF(S87&gt;0,S87*M87,0)</f>
        <v>0</v>
      </c>
      <c r="Q87" s="3">
        <f>IF(M87&gt;0,M87/J87,0)</f>
        <v>0</v>
      </c>
      <c r="R87" s="10">
        <f>IF(O87&gt;0.25,0,1)</f>
        <v>1</v>
      </c>
      <c r="S87" s="11">
        <f t="shared" ref="S87:S90" si="97">IF((R87+R86)=1,((0.25-O86)*J87)/M87,R87)</f>
        <v>1</v>
      </c>
      <c r="T87" s="42">
        <f>IF(S87*M87&gt;0.1-T86,0.1-T86,S87*M87)</f>
        <v>0</v>
      </c>
      <c r="U87" s="42">
        <f>(M86+M87)/M91</f>
        <v>0</v>
      </c>
      <c r="V87" s="43">
        <f>IF(U87&lt;(0.5),1,0)</f>
        <v>1</v>
      </c>
      <c r="W87" s="43">
        <f>IF(V87+V86=1,0.5*M91-M86,M87*V87)</f>
        <v>0</v>
      </c>
      <c r="X87" s="42">
        <f t="shared" ref="X87:X90" si="98">IF(J87&gt;0,T87/J87,0)</f>
        <v>0</v>
      </c>
      <c r="Y87" s="42">
        <f>MIN(W87,T87)</f>
        <v>0</v>
      </c>
      <c r="Z87" s="46">
        <f>N87*K87*L87*T87/1000</f>
        <v>0</v>
      </c>
      <c r="AA87" s="46">
        <f t="shared" ref="AA87:AA90" si="99">IF(N87&gt;0,Z87/N87,0)</f>
        <v>0</v>
      </c>
      <c r="AB87" s="47"/>
      <c r="AC87" s="60"/>
      <c r="AD87" s="21"/>
    </row>
    <row r="88" spans="1:42" x14ac:dyDescent="0.25">
      <c r="A88" s="1">
        <v>234</v>
      </c>
      <c r="B88" s="1" t="s">
        <v>73</v>
      </c>
      <c r="D88" s="21"/>
      <c r="E88" s="151"/>
      <c r="F88" s="21"/>
      <c r="H88" s="67"/>
      <c r="I88" s="135" cm="1">
        <f t="array" ref="I88">_xlfn.XLOOKUP(H88,MateriaalDatabank!$A$1:A377,MateriaalDatabank!$B$1:B377,0.0000001)</f>
        <v>0</v>
      </c>
      <c r="J88" s="135" cm="1">
        <f t="array" ref="J88">_xlfn.XLOOKUP(I88,MateriaalDatabank!$B$1:B377,MateriaalDatabank!$C$1:C377,0.0000001)</f>
        <v>9.9999999999999995E-8</v>
      </c>
      <c r="K88" s="135" cm="1">
        <f t="array" ref="K88">_xlfn.XLOOKUP(I88,MateriaalDatabank!$B$1:B377,MateriaalDatabank!$D$1:D377,0.0000001)</f>
        <v>9.9999999999999995E-8</v>
      </c>
      <c r="L88" s="135" cm="1">
        <f t="array" ref="L88">_xlfn.XLOOKUP(I88,MateriaalDatabank!$B$1:B377,MateriaalDatabank!$E$1:E377,0.0000001)</f>
        <v>9.9999999999999995E-8</v>
      </c>
      <c r="M88" s="129"/>
      <c r="N88" s="136">
        <f>N87</f>
        <v>0</v>
      </c>
      <c r="O88" s="3">
        <f>O87+Q88</f>
        <v>0</v>
      </c>
      <c r="P88" s="3">
        <f t="shared" si="96"/>
        <v>0</v>
      </c>
      <c r="Q88" s="3">
        <f t="shared" ref="Q88:Q90" si="100">IF(M88&gt;0,M88/J88,0)</f>
        <v>0</v>
      </c>
      <c r="R88" s="10">
        <f>IF(O88&gt;0.25,0,1)</f>
        <v>1</v>
      </c>
      <c r="S88" s="11">
        <f t="shared" si="97"/>
        <v>1</v>
      </c>
      <c r="T88" s="42">
        <f>IF(S88*M88&gt;0.1-T87-T86,0.1-T87-T86,S88*M88)</f>
        <v>0</v>
      </c>
      <c r="U88" s="42">
        <f>(M86+M87+M88)/M91</f>
        <v>0</v>
      </c>
      <c r="V88" s="43">
        <f>IF(U88&lt;(0.5),1,0)</f>
        <v>1</v>
      </c>
      <c r="W88" s="43">
        <f>IF(V88+V87=1,0.5*M91-M87-M86,M88*V88)</f>
        <v>0</v>
      </c>
      <c r="X88" s="42">
        <f t="shared" si="98"/>
        <v>0</v>
      </c>
      <c r="Y88" s="42">
        <f t="shared" ref="Y88:Y90" si="101">MIN(W88,T88)</f>
        <v>0</v>
      </c>
      <c r="Z88" s="46">
        <f>N88*K88*L88*T88/1000</f>
        <v>0</v>
      </c>
      <c r="AA88" s="46">
        <f t="shared" si="99"/>
        <v>0</v>
      </c>
      <c r="AB88" s="47"/>
      <c r="AC88" s="60"/>
      <c r="AD88" s="21"/>
    </row>
    <row r="89" spans="1:42" x14ac:dyDescent="0.25">
      <c r="A89" s="1">
        <v>235</v>
      </c>
      <c r="B89" s="1" t="s">
        <v>74</v>
      </c>
      <c r="D89" s="21"/>
      <c r="E89" s="151"/>
      <c r="F89" s="21"/>
      <c r="H89" s="67"/>
      <c r="I89" s="135" cm="1">
        <f t="array" ref="I89">_xlfn.XLOOKUP(H89,MateriaalDatabank!$A$1:A378,MateriaalDatabank!$B$1:B378,0.0000001)</f>
        <v>0</v>
      </c>
      <c r="J89" s="135" cm="1">
        <f t="array" ref="J89">_xlfn.XLOOKUP(I89,MateriaalDatabank!$B$1:B378,MateriaalDatabank!$C$1:C378,0.0000001)</f>
        <v>9.9999999999999995E-8</v>
      </c>
      <c r="K89" s="135" cm="1">
        <f t="array" ref="K89">_xlfn.XLOOKUP(I89,MateriaalDatabank!$B$1:B378,MateriaalDatabank!$D$1:D378,0.0000001)</f>
        <v>9.9999999999999995E-8</v>
      </c>
      <c r="L89" s="135" cm="1">
        <f t="array" ref="L89">_xlfn.XLOOKUP(I89,MateriaalDatabank!$B$1:B378,MateriaalDatabank!$E$1:E378,0.0000001)</f>
        <v>9.9999999999999995E-8</v>
      </c>
      <c r="M89" s="129"/>
      <c r="N89" s="136">
        <f t="shared" ref="N89:N90" si="102">N88</f>
        <v>0</v>
      </c>
      <c r="O89" s="3">
        <f>O88+Q89</f>
        <v>0</v>
      </c>
      <c r="P89" s="3">
        <f t="shared" si="96"/>
        <v>0</v>
      </c>
      <c r="Q89" s="3">
        <f t="shared" si="100"/>
        <v>0</v>
      </c>
      <c r="R89" s="10">
        <f>IF(O89&gt;0.25,0,1)</f>
        <v>1</v>
      </c>
      <c r="S89" s="11">
        <f t="shared" si="97"/>
        <v>1</v>
      </c>
      <c r="T89" s="42">
        <f>IF(S89*M89&gt;0.1-T88-T87-T86,0.1-T88-T87-T86,S89*M89)</f>
        <v>0</v>
      </c>
      <c r="U89" s="42">
        <f>(M86+M87+M88+M89)/M91</f>
        <v>0</v>
      </c>
      <c r="V89" s="43">
        <f>IF(U89&lt;(0.5),1,0)</f>
        <v>1</v>
      </c>
      <c r="W89" s="43">
        <f>IF(V89+V88=1,0.5*M91-M88-M87-M86,M89*V89)</f>
        <v>0</v>
      </c>
      <c r="X89" s="42">
        <f t="shared" si="98"/>
        <v>0</v>
      </c>
      <c r="Y89" s="42">
        <f t="shared" si="101"/>
        <v>0</v>
      </c>
      <c r="Z89" s="46">
        <f>N89*K89*L89*T89/1000</f>
        <v>0</v>
      </c>
      <c r="AA89" s="46">
        <f t="shared" si="99"/>
        <v>0</v>
      </c>
      <c r="AB89" s="47"/>
      <c r="AC89" s="60"/>
      <c r="AD89" s="21"/>
    </row>
    <row r="90" spans="1:42" x14ac:dyDescent="0.25">
      <c r="A90" s="1">
        <v>236</v>
      </c>
      <c r="B90" s="1" t="s">
        <v>75</v>
      </c>
      <c r="D90" s="21"/>
      <c r="E90" s="151"/>
      <c r="F90" s="21"/>
      <c r="H90" s="67"/>
      <c r="I90" s="135" cm="1">
        <f t="array" ref="I90">_xlfn.XLOOKUP(H90,MateriaalDatabank!$A$1:A379,MateriaalDatabank!$B$1:B379,0.0000001)</f>
        <v>0</v>
      </c>
      <c r="J90" s="135" cm="1">
        <f t="array" ref="J90">_xlfn.XLOOKUP(I90,MateriaalDatabank!$B$1:B379,MateriaalDatabank!$C$1:C379,0.0000001)</f>
        <v>9.9999999999999995E-8</v>
      </c>
      <c r="K90" s="135" cm="1">
        <f t="array" ref="K90">_xlfn.XLOOKUP(I90,MateriaalDatabank!$B$1:B379,MateriaalDatabank!$D$1:D379,0.0000001)</f>
        <v>9.9999999999999995E-8</v>
      </c>
      <c r="L90" s="135" cm="1">
        <f t="array" ref="L90">_xlfn.XLOOKUP(I90,MateriaalDatabank!$B$1:B379,MateriaalDatabank!$E$1:E379,0.0000001)</f>
        <v>9.9999999999999995E-8</v>
      </c>
      <c r="M90" s="129"/>
      <c r="N90" s="136">
        <f t="shared" si="102"/>
        <v>0</v>
      </c>
      <c r="O90" s="3">
        <f>O89+Q90</f>
        <v>0</v>
      </c>
      <c r="P90" s="3">
        <f t="shared" si="96"/>
        <v>0</v>
      </c>
      <c r="Q90" s="3">
        <f t="shared" si="100"/>
        <v>0</v>
      </c>
      <c r="R90" s="10">
        <f>IF(O90&gt;0.25,0,1)</f>
        <v>1</v>
      </c>
      <c r="S90" s="11">
        <f t="shared" si="97"/>
        <v>1</v>
      </c>
      <c r="T90" s="42">
        <f>IF(S90*M90&gt;0.1-T89-T88-T87-T86,0.1-T89-T88-T87-T86,S90*M90)</f>
        <v>0</v>
      </c>
      <c r="U90" s="42">
        <f>(M86+M87+M88+M89+M90)/M91</f>
        <v>0</v>
      </c>
      <c r="V90" s="43">
        <f>IF(U90&lt;(0.5),1,0)</f>
        <v>1</v>
      </c>
      <c r="W90" s="43">
        <f>IF(V90+V89=1,0.5*M91-M89-M88-M87-M86,M90*V90)</f>
        <v>0</v>
      </c>
      <c r="X90" s="42">
        <f t="shared" si="98"/>
        <v>0</v>
      </c>
      <c r="Y90" s="42">
        <f t="shared" si="101"/>
        <v>0</v>
      </c>
      <c r="Z90" s="46">
        <f>N90*K90*L90*T90/1000</f>
        <v>0</v>
      </c>
      <c r="AA90" s="46">
        <f t="shared" si="99"/>
        <v>0</v>
      </c>
      <c r="AB90" s="47"/>
      <c r="AC90" s="60"/>
      <c r="AD90" s="21"/>
      <c r="AJ90" s="13"/>
    </row>
    <row r="91" spans="1:42" x14ac:dyDescent="0.25">
      <c r="A91" s="1">
        <v>237</v>
      </c>
      <c r="B91" s="1" t="s">
        <v>76</v>
      </c>
      <c r="D91" s="21"/>
      <c r="E91" s="18"/>
      <c r="F91" s="21"/>
      <c r="H91" s="55"/>
      <c r="I91" s="55"/>
      <c r="J91" s="56"/>
      <c r="K91" s="57"/>
      <c r="L91" s="56"/>
      <c r="M91" s="137">
        <f>SUM(M86:M90)+0.00000000000000001</f>
        <v>1.0000000000000001E-17</v>
      </c>
      <c r="N91" s="49">
        <f>N86</f>
        <v>0</v>
      </c>
      <c r="O91" s="57"/>
      <c r="P91" s="137">
        <f>SUM(P86:P90)</f>
        <v>0</v>
      </c>
      <c r="Q91" s="137">
        <f>SUM(Q86:Q90)</f>
        <v>0</v>
      </c>
      <c r="R91" s="57"/>
      <c r="S91" s="57"/>
      <c r="T91" s="137">
        <f>SUM(T86:T90)</f>
        <v>0</v>
      </c>
      <c r="U91" s="137"/>
      <c r="V91" s="138">
        <f>W91/M91</f>
        <v>0</v>
      </c>
      <c r="W91" s="137">
        <f>SUM(W86:W90)</f>
        <v>0</v>
      </c>
      <c r="X91" s="137">
        <f>SUM(X86:X90)</f>
        <v>0</v>
      </c>
      <c r="Y91" s="137"/>
      <c r="Z91" s="58">
        <f>SUM(Z86:Z90)</f>
        <v>0</v>
      </c>
      <c r="AA91" s="58">
        <f>IF(N91&gt;0,Z91/N91,0)</f>
        <v>0</v>
      </c>
      <c r="AB91" s="58">
        <f>Z91/$L$5</f>
        <v>0</v>
      </c>
      <c r="AC91" s="60"/>
      <c r="AD91" s="21"/>
    </row>
    <row r="92" spans="1:42" ht="14.45" customHeight="1" x14ac:dyDescent="0.25">
      <c r="D92" s="21"/>
      <c r="E92" s="151" t="s">
        <v>136</v>
      </c>
      <c r="F92" s="83" t="s">
        <v>163</v>
      </c>
      <c r="H92" s="68">
        <v>0</v>
      </c>
      <c r="I92" s="52" t="str">
        <f>I85 &amp; " &lt;-- onderzijde (gespiegelde weergave)"</f>
        <v>. &lt;-- onderzijde (gespiegelde weergave)</v>
      </c>
      <c r="J92" s="53"/>
      <c r="K92" s="53"/>
      <c r="L92" s="53"/>
      <c r="M92" s="53"/>
      <c r="N92" s="54"/>
      <c r="O92" s="2"/>
      <c r="P92" s="2"/>
      <c r="Q92" s="2"/>
      <c r="R92" s="139">
        <v>1</v>
      </c>
      <c r="S92" s="10"/>
      <c r="T92" s="42"/>
      <c r="U92" s="42"/>
      <c r="V92" s="43"/>
      <c r="W92" s="43"/>
      <c r="X92" s="42"/>
      <c r="Y92" s="42"/>
      <c r="Z92" s="48"/>
      <c r="AA92" s="48"/>
      <c r="AB92" s="48"/>
      <c r="AC92" s="60"/>
      <c r="AD92" s="21"/>
    </row>
    <row r="93" spans="1:42" x14ac:dyDescent="0.25">
      <c r="A93" s="73" t="s">
        <v>156</v>
      </c>
      <c r="B93" s="73"/>
      <c r="D93" s="21"/>
      <c r="E93" s="151"/>
      <c r="F93" s="21"/>
      <c r="H93" s="53"/>
      <c r="I93" s="140">
        <f>I90</f>
        <v>0</v>
      </c>
      <c r="J93" s="141">
        <f t="shared" ref="J93:M93" si="103">J90</f>
        <v>9.9999999999999995E-8</v>
      </c>
      <c r="K93" s="141">
        <f t="shared" si="103"/>
        <v>9.9999999999999995E-8</v>
      </c>
      <c r="L93" s="141">
        <f t="shared" si="103"/>
        <v>9.9999999999999995E-8</v>
      </c>
      <c r="M93" s="142">
        <f t="shared" si="103"/>
        <v>0</v>
      </c>
      <c r="N93" s="143">
        <f>N86*$H$92</f>
        <v>0</v>
      </c>
      <c r="O93" s="3">
        <f>Q93</f>
        <v>0</v>
      </c>
      <c r="P93" s="3">
        <f>IF(S93&gt;0,S93*M93,0)</f>
        <v>0</v>
      </c>
      <c r="Q93" s="3">
        <f>IF(M93&gt;0,M93/J93,0)</f>
        <v>0</v>
      </c>
      <c r="R93" s="10">
        <f>IF(O93&gt;0.25,0,1)</f>
        <v>1</v>
      </c>
      <c r="S93" s="11">
        <f>IF((R93+R92)=1,((0.25-O92)*J93)/M93,R93)</f>
        <v>1</v>
      </c>
      <c r="T93" s="42">
        <f>IF(S93*M93&gt;0.1,0.1,S93*M93)</f>
        <v>0</v>
      </c>
      <c r="U93" s="42">
        <f>M93/M98</f>
        <v>0</v>
      </c>
      <c r="V93" s="43">
        <f>IF(U93&lt;(0.5),1,0)</f>
        <v>1</v>
      </c>
      <c r="W93" s="41">
        <f>IF(V93+V92=0,0.5*M98,M93*V93)</f>
        <v>0</v>
      </c>
      <c r="X93" s="42">
        <f>IF(J93&gt;0,T93/J93,0)</f>
        <v>0</v>
      </c>
      <c r="Y93" s="42">
        <f>MIN(W93,T93)</f>
        <v>0</v>
      </c>
      <c r="Z93" s="46">
        <f>N93*K93*L93*T93/1000</f>
        <v>0</v>
      </c>
      <c r="AA93" s="46">
        <f>IF(N93&gt;0,Z93/N93,0)</f>
        <v>0</v>
      </c>
      <c r="AB93" s="47"/>
      <c r="AC93" s="60"/>
      <c r="AD93" s="21"/>
      <c r="AK93" s="12"/>
      <c r="AL93" s="12"/>
      <c r="AN93" s="13"/>
      <c r="AO93" s="13"/>
      <c r="AP93" s="13"/>
    </row>
    <row r="94" spans="1:42" x14ac:dyDescent="0.25">
      <c r="A94" s="1">
        <v>240</v>
      </c>
      <c r="B94" s="1" t="s">
        <v>176</v>
      </c>
      <c r="D94" s="21"/>
      <c r="E94" s="151"/>
      <c r="F94" s="21"/>
      <c r="H94" s="144"/>
      <c r="I94" s="140">
        <f>I89</f>
        <v>0</v>
      </c>
      <c r="J94" s="141">
        <f t="shared" ref="J94:M94" si="104">J89</f>
        <v>9.9999999999999995E-8</v>
      </c>
      <c r="K94" s="141">
        <f t="shared" si="104"/>
        <v>9.9999999999999995E-8</v>
      </c>
      <c r="L94" s="141">
        <f t="shared" si="104"/>
        <v>9.9999999999999995E-8</v>
      </c>
      <c r="M94" s="142">
        <f t="shared" si="104"/>
        <v>0</v>
      </c>
      <c r="N94" s="143">
        <f t="shared" ref="N94:N97" si="105">N87*$H$92</f>
        <v>0</v>
      </c>
      <c r="O94" s="3">
        <f>O93+Q94</f>
        <v>0</v>
      </c>
      <c r="P94" s="3">
        <f t="shared" ref="P94:P97" si="106">IF(S94&gt;0,S94*M94,0)</f>
        <v>0</v>
      </c>
      <c r="Q94" s="3">
        <f>IF(M94&gt;0,M94/J94,0)</f>
        <v>0</v>
      </c>
      <c r="R94" s="10">
        <f>IF(O94&gt;0.25,0,1)</f>
        <v>1</v>
      </c>
      <c r="S94" s="11">
        <f t="shared" ref="S94:S97" si="107">IF((R94+R93)=1,((0.25-O93)*J94)/M94,R94)</f>
        <v>1</v>
      </c>
      <c r="T94" s="42">
        <f>IF(S94*M94&gt;0.1-T93,0.1-T93,S94*M94)</f>
        <v>0</v>
      </c>
      <c r="U94" s="42">
        <f>(M93+M94)/M98</f>
        <v>0</v>
      </c>
      <c r="V94" s="43">
        <f>IF(U94&lt;(0.5),1,0)</f>
        <v>1</v>
      </c>
      <c r="W94" s="43">
        <f>IF(V94+V93=1,0.5*M98-M93,M94*V94)</f>
        <v>0</v>
      </c>
      <c r="X94" s="42">
        <f t="shared" ref="X94:X97" si="108">IF(J94&gt;0,T94/J94,0)</f>
        <v>0</v>
      </c>
      <c r="Y94" s="42">
        <f>MIN(W94,T94)</f>
        <v>0</v>
      </c>
      <c r="Z94" s="46">
        <f>N94*K94*L94*T94/1000</f>
        <v>0</v>
      </c>
      <c r="AA94" s="46">
        <f t="shared" ref="AA94:AA97" si="109">IF(N94&gt;0,Z94/N94,0)</f>
        <v>0</v>
      </c>
      <c r="AB94" s="47"/>
      <c r="AC94" s="60"/>
      <c r="AD94" s="21"/>
    </row>
    <row r="95" spans="1:42" x14ac:dyDescent="0.25">
      <c r="A95" s="1">
        <v>241</v>
      </c>
      <c r="B95" s="1" t="s">
        <v>177</v>
      </c>
      <c r="D95" s="21"/>
      <c r="E95" s="151"/>
      <c r="F95" s="21"/>
      <c r="H95" s="144"/>
      <c r="I95" s="140">
        <f>I88</f>
        <v>0</v>
      </c>
      <c r="J95" s="141">
        <f t="shared" ref="J95:M95" si="110">J88</f>
        <v>9.9999999999999995E-8</v>
      </c>
      <c r="K95" s="141">
        <f t="shared" si="110"/>
        <v>9.9999999999999995E-8</v>
      </c>
      <c r="L95" s="141">
        <f t="shared" si="110"/>
        <v>9.9999999999999995E-8</v>
      </c>
      <c r="M95" s="142">
        <f t="shared" si="110"/>
        <v>0</v>
      </c>
      <c r="N95" s="143">
        <f t="shared" si="105"/>
        <v>0</v>
      </c>
      <c r="O95" s="3">
        <f>O94+Q95</f>
        <v>0</v>
      </c>
      <c r="P95" s="3">
        <f t="shared" si="106"/>
        <v>0</v>
      </c>
      <c r="Q95" s="3">
        <f t="shared" ref="Q95:Q97" si="111">IF(M95&gt;0,M95/J95,0)</f>
        <v>0</v>
      </c>
      <c r="R95" s="10">
        <f>IF(O95&gt;0.25,0,1)</f>
        <v>1</v>
      </c>
      <c r="S95" s="11">
        <f t="shared" si="107"/>
        <v>1</v>
      </c>
      <c r="T95" s="42">
        <f>IF(S95*M95&gt;0.1-T94-T93,0.1-T94-T93,S95*M95)</f>
        <v>0</v>
      </c>
      <c r="U95" s="42">
        <f>(M93+M94+M95)/M98</f>
        <v>0</v>
      </c>
      <c r="V95" s="43">
        <f>IF(U95&lt;(0.5),1,0)</f>
        <v>1</v>
      </c>
      <c r="W95" s="43">
        <f>IF(V95+V94=1,0.5*M98-M94-M93,M95*V95)</f>
        <v>0</v>
      </c>
      <c r="X95" s="42">
        <f t="shared" si="108"/>
        <v>0</v>
      </c>
      <c r="Y95" s="42">
        <f t="shared" ref="Y95:Y97" si="112">MIN(W95,T95)</f>
        <v>0</v>
      </c>
      <c r="Z95" s="46">
        <f>N95*K95*L95*T95/1000</f>
        <v>0</v>
      </c>
      <c r="AA95" s="46">
        <f t="shared" si="109"/>
        <v>0</v>
      </c>
      <c r="AB95" s="47"/>
      <c r="AC95" s="60"/>
      <c r="AD95" s="21"/>
    </row>
    <row r="96" spans="1:42" x14ac:dyDescent="0.25">
      <c r="A96" s="1">
        <v>242</v>
      </c>
      <c r="B96" s="1" t="s">
        <v>78</v>
      </c>
      <c r="D96" s="21"/>
      <c r="E96" s="151"/>
      <c r="F96" s="21"/>
      <c r="H96" s="144"/>
      <c r="I96" s="140">
        <f>I87</f>
        <v>0</v>
      </c>
      <c r="J96" s="141">
        <f t="shared" ref="J96:M96" si="113">J87</f>
        <v>9.9999999999999995E-8</v>
      </c>
      <c r="K96" s="141">
        <f t="shared" si="113"/>
        <v>9.9999999999999995E-8</v>
      </c>
      <c r="L96" s="141">
        <f t="shared" si="113"/>
        <v>9.9999999999999995E-8</v>
      </c>
      <c r="M96" s="142">
        <f t="shared" si="113"/>
        <v>0</v>
      </c>
      <c r="N96" s="143">
        <f t="shared" si="105"/>
        <v>0</v>
      </c>
      <c r="O96" s="3">
        <f>O95+Q96</f>
        <v>0</v>
      </c>
      <c r="P96" s="3">
        <f t="shared" si="106"/>
        <v>0</v>
      </c>
      <c r="Q96" s="3">
        <f t="shared" si="111"/>
        <v>0</v>
      </c>
      <c r="R96" s="10">
        <f>IF(O96&gt;0.25,0,1)</f>
        <v>1</v>
      </c>
      <c r="S96" s="11">
        <f t="shared" si="107"/>
        <v>1</v>
      </c>
      <c r="T96" s="42">
        <f>IF(S96*M96&gt;0.1-T95-T94-T93,0.1-T95-T94-T93,S96*M96)</f>
        <v>0</v>
      </c>
      <c r="U96" s="42">
        <f>(M93+M94+M95+M96)/M98</f>
        <v>0</v>
      </c>
      <c r="V96" s="43">
        <f>IF(U96&lt;(0.5),1,0)</f>
        <v>1</v>
      </c>
      <c r="W96" s="43">
        <f>IF(V96+V95=1,0.5*M98-M95-M94-M93,M96*V96)</f>
        <v>0</v>
      </c>
      <c r="X96" s="42">
        <f t="shared" si="108"/>
        <v>0</v>
      </c>
      <c r="Y96" s="42">
        <f t="shared" si="112"/>
        <v>0</v>
      </c>
      <c r="Z96" s="46">
        <f>N96*K96*L96*T96/1000</f>
        <v>0</v>
      </c>
      <c r="AA96" s="46">
        <f t="shared" si="109"/>
        <v>0</v>
      </c>
      <c r="AB96" s="47"/>
      <c r="AC96" s="60"/>
      <c r="AD96" s="21"/>
    </row>
    <row r="97" spans="1:30" x14ac:dyDescent="0.25">
      <c r="A97" s="1">
        <v>243</v>
      </c>
      <c r="B97" s="1" t="s">
        <v>79</v>
      </c>
      <c r="D97" s="21"/>
      <c r="E97" s="151"/>
      <c r="F97" s="21"/>
      <c r="H97" s="144"/>
      <c r="I97" s="140">
        <f>I86</f>
        <v>0</v>
      </c>
      <c r="J97" s="141">
        <f t="shared" ref="J97:M97" si="114">J86</f>
        <v>9.9999999999999995E-8</v>
      </c>
      <c r="K97" s="141">
        <f t="shared" si="114"/>
        <v>9.9999999999999995E-8</v>
      </c>
      <c r="L97" s="141">
        <f t="shared" si="114"/>
        <v>9.9999999999999995E-8</v>
      </c>
      <c r="M97" s="142">
        <f t="shared" si="114"/>
        <v>0</v>
      </c>
      <c r="N97" s="143">
        <f t="shared" si="105"/>
        <v>0</v>
      </c>
      <c r="O97" s="3">
        <f>O96+Q97</f>
        <v>0</v>
      </c>
      <c r="P97" s="3">
        <f t="shared" si="106"/>
        <v>0</v>
      </c>
      <c r="Q97" s="3">
        <f t="shared" si="111"/>
        <v>0</v>
      </c>
      <c r="R97" s="10">
        <f>IF(O97&gt;0.25,0,1)</f>
        <v>1</v>
      </c>
      <c r="S97" s="11">
        <f t="shared" si="107"/>
        <v>1</v>
      </c>
      <c r="T97" s="42">
        <f>IF(S97*M97&gt;0.1-T96-T95-T94-T93,0.1-T96-T95-T94-T93,S97*M97)</f>
        <v>0</v>
      </c>
      <c r="U97" s="42">
        <f>(M93+M94+M95+M96+M97)/M98</f>
        <v>0</v>
      </c>
      <c r="V97" s="43">
        <f>IF(U97&lt;(0.5),1,0)</f>
        <v>1</v>
      </c>
      <c r="W97" s="43">
        <f>IF(V97+V96=1,0.5*M98-M96-M95-M94-M93,M97*V97)</f>
        <v>0</v>
      </c>
      <c r="X97" s="42">
        <f t="shared" si="108"/>
        <v>0</v>
      </c>
      <c r="Y97" s="42">
        <f t="shared" si="112"/>
        <v>0</v>
      </c>
      <c r="Z97" s="46">
        <f>N97*K97*L97*T97/1000</f>
        <v>0</v>
      </c>
      <c r="AA97" s="46">
        <f t="shared" si="109"/>
        <v>0</v>
      </c>
      <c r="AB97" s="47"/>
      <c r="AC97" s="60"/>
      <c r="AD97" s="21"/>
    </row>
    <row r="98" spans="1:30" x14ac:dyDescent="0.25">
      <c r="A98" s="1">
        <v>244</v>
      </c>
      <c r="B98" s="1" t="s">
        <v>80</v>
      </c>
      <c r="D98" s="21"/>
      <c r="E98" s="21"/>
      <c r="F98" s="21"/>
      <c r="H98" s="55"/>
      <c r="I98" s="55"/>
      <c r="J98" s="56"/>
      <c r="K98" s="57"/>
      <c r="L98" s="56"/>
      <c r="M98" s="137">
        <f>SUM(M93:M97)+0.00000000000000001</f>
        <v>1.0000000000000001E-17</v>
      </c>
      <c r="N98" s="49">
        <f>N93</f>
        <v>0</v>
      </c>
      <c r="O98" s="57"/>
      <c r="P98" s="137">
        <f>SUM(P93:P97)</f>
        <v>0</v>
      </c>
      <c r="Q98" s="137">
        <f>SUM(Q93:Q97)</f>
        <v>0</v>
      </c>
      <c r="R98" s="57"/>
      <c r="S98" s="57"/>
      <c r="T98" s="137">
        <f>SUM(T93:T97)</f>
        <v>0</v>
      </c>
      <c r="U98" s="137"/>
      <c r="V98" s="138">
        <f>W98/M98</f>
        <v>0</v>
      </c>
      <c r="W98" s="137">
        <f>SUM(W93:W97)</f>
        <v>0</v>
      </c>
      <c r="X98" s="137">
        <f>SUM(X93:X97)</f>
        <v>0</v>
      </c>
      <c r="Y98" s="137"/>
      <c r="Z98" s="58">
        <f>SUM(Z93:Z97)</f>
        <v>0</v>
      </c>
      <c r="AA98" s="58">
        <f>IF(N98&gt;0,Z98/N98,0)</f>
        <v>0</v>
      </c>
      <c r="AB98" s="58">
        <f>Z98/$L$5</f>
        <v>0</v>
      </c>
      <c r="AC98" s="60"/>
      <c r="AD98" s="90" t="s">
        <v>215</v>
      </c>
    </row>
    <row r="99" spans="1:30" x14ac:dyDescent="0.25">
      <c r="D99" s="21"/>
      <c r="E99" s="21"/>
      <c r="F99" s="21"/>
      <c r="G99" s="21"/>
      <c r="H99" s="25"/>
      <c r="I99" s="26"/>
      <c r="J99" s="27"/>
      <c r="K99" s="28"/>
      <c r="L99" s="27"/>
      <c r="M99" s="147"/>
      <c r="N99" s="148"/>
      <c r="O99" s="28"/>
      <c r="P99" s="147"/>
      <c r="Q99" s="147"/>
      <c r="R99" s="28"/>
      <c r="S99" s="28"/>
      <c r="T99" s="147"/>
      <c r="U99" s="147"/>
      <c r="V99" s="147"/>
      <c r="W99" s="147"/>
      <c r="X99" s="147"/>
      <c r="Y99" s="147"/>
      <c r="Z99" s="29"/>
      <c r="AA99" s="29"/>
      <c r="AB99" s="29"/>
      <c r="AC99" s="25"/>
      <c r="AD99" s="91" t="s">
        <v>214</v>
      </c>
    </row>
    <row r="100" spans="1:30" x14ac:dyDescent="0.25">
      <c r="A100" s="94" t="s">
        <v>162</v>
      </c>
      <c r="B100" s="66"/>
      <c r="C100" s="66"/>
    </row>
    <row r="101" spans="1:30" x14ac:dyDescent="0.25">
      <c r="A101" s="66" t="s">
        <v>161</v>
      </c>
      <c r="B101" s="66"/>
      <c r="C101" s="66"/>
    </row>
    <row r="102" spans="1:30" x14ac:dyDescent="0.25">
      <c r="A102" s="66" t="s">
        <v>160</v>
      </c>
      <c r="B102" s="66"/>
      <c r="C102" s="66"/>
    </row>
  </sheetData>
  <sheetProtection algorithmName="SHA-512" hashValue="zCw0YnUq/BS4zeuL/YC3nR1j9Pj+EPvjRX7/KLbUYIu+5YSdCmlz93jXDs9S4oII+f2ECJZTXmgeTPugr2cvqg==" saltValue="laHkMp7of6DX0H36B9woug==" spinCount="100000" sheet="1" objects="1" scenarios="1"/>
  <mergeCells count="13">
    <mergeCell ref="E85:E90"/>
    <mergeCell ref="E92:E97"/>
    <mergeCell ref="H5:I5"/>
    <mergeCell ref="E47:E52"/>
    <mergeCell ref="E55:E60"/>
    <mergeCell ref="E62:E67"/>
    <mergeCell ref="E70:E75"/>
    <mergeCell ref="E77:E82"/>
    <mergeCell ref="E10:E15"/>
    <mergeCell ref="E17:E22"/>
    <mergeCell ref="E25:E30"/>
    <mergeCell ref="E32:E37"/>
    <mergeCell ref="E40:E45"/>
  </mergeCells>
  <conditionalFormatting sqref="X10:Y15 X18:Y22">
    <cfRule type="cellIs" dxfId="790" priority="626" operator="lessThan">
      <formula>0.000001</formula>
    </cfRule>
  </conditionalFormatting>
  <conditionalFormatting sqref="M14:M15 N11:AA11 O12:AA15">
    <cfRule type="cellIs" dxfId="789" priority="625" operator="lessThan">
      <formula>0.0000001</formula>
    </cfRule>
  </conditionalFormatting>
  <conditionalFormatting sqref="O18:P22 R18:T22 X18:Y22">
    <cfRule type="cellIs" dxfId="788" priority="623" operator="lessThan">
      <formula>0.0000001</formula>
    </cfRule>
  </conditionalFormatting>
  <conditionalFormatting sqref="AA18:AA22">
    <cfRule type="cellIs" dxfId="787" priority="621" operator="lessThan">
      <formula>0.0000001</formula>
    </cfRule>
  </conditionalFormatting>
  <conditionalFormatting sqref="N26:P26 Z26:Z30 M29:M30 O27:P30 R26:T30">
    <cfRule type="cellIs" dxfId="786" priority="606" operator="lessThan">
      <formula>0.0000001</formula>
    </cfRule>
  </conditionalFormatting>
  <conditionalFormatting sqref="T16:U16 W16">
    <cfRule type="cellIs" dxfId="785" priority="617" operator="equal">
      <formula>0.1</formula>
    </cfRule>
  </conditionalFormatting>
  <conditionalFormatting sqref="Q16">
    <cfRule type="cellIs" dxfId="784" priority="614" operator="equal">
      <formula>0.25</formula>
    </cfRule>
    <cfRule type="cellIs" dxfId="783" priority="615" operator="equal">
      <formula>0.1</formula>
    </cfRule>
  </conditionalFormatting>
  <conditionalFormatting sqref="X16:Y16">
    <cfRule type="cellIs" dxfId="782" priority="609" operator="lessThan">
      <formula>0.000001</formula>
    </cfRule>
  </conditionalFormatting>
  <conditionalFormatting sqref="X16:Y16">
    <cfRule type="cellIs" dxfId="781" priority="608" operator="equal">
      <formula>0.25</formula>
    </cfRule>
  </conditionalFormatting>
  <conditionalFormatting sqref="Z78:Z82 O78:P82 R78:T82">
    <cfRule type="cellIs" dxfId="780" priority="529" operator="lessThan">
      <formula>0.0000001</formula>
    </cfRule>
  </conditionalFormatting>
  <conditionalFormatting sqref="AA26:AA30">
    <cfRule type="cellIs" dxfId="779" priority="604" operator="lessThan">
      <formula>0.0000001</formula>
    </cfRule>
  </conditionalFormatting>
  <conditionalFormatting sqref="Z33:Z37 O33:P37 R33:T37">
    <cfRule type="cellIs" dxfId="778" priority="595" operator="lessThan">
      <formula>0.0000001</formula>
    </cfRule>
  </conditionalFormatting>
  <conditionalFormatting sqref="AA33:AA37">
    <cfRule type="cellIs" dxfId="777" priority="593" operator="lessThan">
      <formula>0.0000001</formula>
    </cfRule>
  </conditionalFormatting>
  <conditionalFormatting sqref="X23:Y24">
    <cfRule type="cellIs" dxfId="776" priority="490" operator="equal">
      <formula>0.25</formula>
    </cfRule>
  </conditionalFormatting>
  <conditionalFormatting sqref="X53:X54">
    <cfRule type="cellIs" dxfId="775" priority="467" operator="lessThan">
      <formula>0.000001</formula>
    </cfRule>
  </conditionalFormatting>
  <conditionalFormatting sqref="N41:P41 Z41:Z45 O42:P45 R41:T45">
    <cfRule type="cellIs" dxfId="774" priority="584" operator="lessThan">
      <formula>0.0000001</formula>
    </cfRule>
  </conditionalFormatting>
  <conditionalFormatting sqref="AA41:AA45">
    <cfRule type="cellIs" dxfId="773" priority="582" operator="lessThan">
      <formula>0.0000001</formula>
    </cfRule>
  </conditionalFormatting>
  <conditionalFormatting sqref="N86:P86 Z86:Z90 O87:P90 R86:T90">
    <cfRule type="cellIs" dxfId="772" priority="518" operator="lessThan">
      <formula>0.0000001</formula>
    </cfRule>
  </conditionalFormatting>
  <conditionalFormatting sqref="AA86:AA90">
    <cfRule type="cellIs" dxfId="771" priority="516" operator="lessThan">
      <formula>0.0000001</formula>
    </cfRule>
  </conditionalFormatting>
  <conditionalFormatting sqref="T31">
    <cfRule type="cellIs" dxfId="770" priority="488" operator="equal">
      <formula>0.1</formula>
    </cfRule>
  </conditionalFormatting>
  <conditionalFormatting sqref="Q31">
    <cfRule type="cellIs" dxfId="769" priority="486" operator="equal">
      <formula>0.25</formula>
    </cfRule>
    <cfRule type="cellIs" dxfId="768" priority="487" operator="equal">
      <formula>0.1</formula>
    </cfRule>
  </conditionalFormatting>
  <conditionalFormatting sqref="Z48:Z52 O48:P52 R48:T52">
    <cfRule type="cellIs" dxfId="767" priority="573" operator="lessThan">
      <formula>0.0000001</formula>
    </cfRule>
  </conditionalFormatting>
  <conditionalFormatting sqref="AA48:AA52">
    <cfRule type="cellIs" dxfId="766" priority="571" operator="lessThan">
      <formula>0.0000001</formula>
    </cfRule>
  </conditionalFormatting>
  <conditionalFormatting sqref="AA78:AA82">
    <cfRule type="cellIs" dxfId="765" priority="527" operator="lessThan">
      <formula>0.0000001</formula>
    </cfRule>
  </conditionalFormatting>
  <conditionalFormatting sqref="N56:P56 Z56:Z60 O57:P60 R56:T60">
    <cfRule type="cellIs" dxfId="764" priority="562" operator="lessThan">
      <formula>0.0000001</formula>
    </cfRule>
  </conditionalFormatting>
  <conditionalFormatting sqref="Z93:Z97 O93:P97 R93:T97">
    <cfRule type="cellIs" dxfId="763" priority="507" operator="lessThan">
      <formula>0.0000001</formula>
    </cfRule>
  </conditionalFormatting>
  <conditionalFormatting sqref="AA56:AA60">
    <cfRule type="cellIs" dxfId="762" priority="560" operator="lessThan">
      <formula>0.0000001</formula>
    </cfRule>
  </conditionalFormatting>
  <conditionalFormatting sqref="AA93:AA97">
    <cfRule type="cellIs" dxfId="761" priority="505" operator="lessThan">
      <formula>0.0000001</formula>
    </cfRule>
  </conditionalFormatting>
  <conditionalFormatting sqref="X83:X84">
    <cfRule type="cellIs" dxfId="760" priority="443" operator="lessThan">
      <formula>0.000001</formula>
    </cfRule>
  </conditionalFormatting>
  <conditionalFormatting sqref="Z63:Z67 O63:P67 R63:T67">
    <cfRule type="cellIs" dxfId="759" priority="551" operator="lessThan">
      <formula>0.0000001</formula>
    </cfRule>
  </conditionalFormatting>
  <conditionalFormatting sqref="AA63:AA67">
    <cfRule type="cellIs" dxfId="758" priority="549" operator="lessThan">
      <formula>0.0000001</formula>
    </cfRule>
  </conditionalFormatting>
  <conditionalFormatting sqref="N71:P71 Z71:Z75 O72:P75 R71:T75">
    <cfRule type="cellIs" dxfId="757" priority="540" operator="lessThan">
      <formula>0.0000001</formula>
    </cfRule>
  </conditionalFormatting>
  <conditionalFormatting sqref="N16">
    <cfRule type="cellIs" dxfId="756" priority="497" operator="lessThan">
      <formula>0.0000001</formula>
    </cfRule>
  </conditionalFormatting>
  <conditionalFormatting sqref="AA71:AA75">
    <cfRule type="cellIs" dxfId="755" priority="538" operator="lessThan">
      <formula>0.0000001</formula>
    </cfRule>
  </conditionalFormatting>
  <conditionalFormatting sqref="N23:N24">
    <cfRule type="cellIs" dxfId="754" priority="489" operator="lessThan">
      <formula>0.0000001</formula>
    </cfRule>
  </conditionalFormatting>
  <conditionalFormatting sqref="Q23:Q24">
    <cfRule type="cellIs" dxfId="753" priority="492" operator="equal">
      <formula>0.25</formula>
    </cfRule>
    <cfRule type="cellIs" dxfId="752" priority="493" operator="equal">
      <formula>0.1</formula>
    </cfRule>
  </conditionalFormatting>
  <conditionalFormatting sqref="X61">
    <cfRule type="cellIs" dxfId="751" priority="460" operator="equal">
      <formula>0.25</formula>
    </cfRule>
  </conditionalFormatting>
  <conditionalFormatting sqref="X78:X82">
    <cfRule type="cellIs" dxfId="750" priority="395" operator="lessThan">
      <formula>0.000001</formula>
    </cfRule>
  </conditionalFormatting>
  <conditionalFormatting sqref="N31">
    <cfRule type="cellIs" dxfId="749" priority="483" operator="lessThan">
      <formula>0.0000001</formula>
    </cfRule>
  </conditionalFormatting>
  <conditionalFormatting sqref="T68:T69">
    <cfRule type="cellIs" dxfId="748" priority="458" operator="equal">
      <formula>0.1</formula>
    </cfRule>
  </conditionalFormatting>
  <conditionalFormatting sqref="Q68:Q69">
    <cfRule type="cellIs" dxfId="747" priority="456" operator="equal">
      <formula>0.25</formula>
    </cfRule>
    <cfRule type="cellIs" dxfId="746" priority="457" operator="equal">
      <formula>0.1</formula>
    </cfRule>
  </conditionalFormatting>
  <conditionalFormatting sqref="T23:U24">
    <cfRule type="cellIs" dxfId="745" priority="495" operator="equal">
      <formula>0.1</formula>
    </cfRule>
  </conditionalFormatting>
  <conditionalFormatting sqref="X23:Y24">
    <cfRule type="cellIs" dxfId="744" priority="491" operator="lessThan">
      <formula>0.000001</formula>
    </cfRule>
  </conditionalFormatting>
  <conditionalFormatting sqref="X31">
    <cfRule type="cellIs" dxfId="743" priority="485" operator="lessThan">
      <formula>0.000001</formula>
    </cfRule>
  </conditionalFormatting>
  <conditionalFormatting sqref="X31">
    <cfRule type="cellIs" dxfId="742" priority="484" operator="equal">
      <formula>0.25</formula>
    </cfRule>
  </conditionalFormatting>
  <conditionalFormatting sqref="T38:T39">
    <cfRule type="cellIs" dxfId="741" priority="482" operator="equal">
      <formula>0.1</formula>
    </cfRule>
  </conditionalFormatting>
  <conditionalFormatting sqref="Q38:Q39">
    <cfRule type="cellIs" dxfId="740" priority="480" operator="equal">
      <formula>0.25</formula>
    </cfRule>
    <cfRule type="cellIs" dxfId="739" priority="481" operator="equal">
      <formula>0.1</formula>
    </cfRule>
  </conditionalFormatting>
  <conditionalFormatting sqref="X38:X39">
    <cfRule type="cellIs" dxfId="738" priority="479" operator="lessThan">
      <formula>0.000001</formula>
    </cfRule>
  </conditionalFormatting>
  <conditionalFormatting sqref="X38:X39">
    <cfRule type="cellIs" dxfId="737" priority="478" operator="equal">
      <formula>0.25</formula>
    </cfRule>
  </conditionalFormatting>
  <conditionalFormatting sqref="N38:N39">
    <cfRule type="cellIs" dxfId="736" priority="477" operator="lessThan">
      <formula>0.0000001</formula>
    </cfRule>
  </conditionalFormatting>
  <conditionalFormatting sqref="T46">
    <cfRule type="cellIs" dxfId="735" priority="476" operator="equal">
      <formula>0.1</formula>
    </cfRule>
  </conditionalFormatting>
  <conditionalFormatting sqref="Q46">
    <cfRule type="cellIs" dxfId="734" priority="474" operator="equal">
      <formula>0.25</formula>
    </cfRule>
    <cfRule type="cellIs" dxfId="733" priority="475" operator="equal">
      <formula>0.1</formula>
    </cfRule>
  </conditionalFormatting>
  <conditionalFormatting sqref="X46">
    <cfRule type="cellIs" dxfId="732" priority="473" operator="lessThan">
      <formula>0.000001</formula>
    </cfRule>
  </conditionalFormatting>
  <conditionalFormatting sqref="X46">
    <cfRule type="cellIs" dxfId="731" priority="472" operator="equal">
      <formula>0.25</formula>
    </cfRule>
  </conditionalFormatting>
  <conditionalFormatting sqref="N53:N54">
    <cfRule type="cellIs" dxfId="730" priority="465" operator="lessThan">
      <formula>0.0000001</formula>
    </cfRule>
  </conditionalFormatting>
  <conditionalFormatting sqref="T53:T54">
    <cfRule type="cellIs" dxfId="729" priority="470" operator="equal">
      <formula>0.1</formula>
    </cfRule>
  </conditionalFormatting>
  <conditionalFormatting sqref="Q53:Q54">
    <cfRule type="cellIs" dxfId="728" priority="468" operator="equal">
      <formula>0.25</formula>
    </cfRule>
    <cfRule type="cellIs" dxfId="727" priority="469" operator="equal">
      <formula>0.1</formula>
    </cfRule>
  </conditionalFormatting>
  <conditionalFormatting sqref="X53:X54">
    <cfRule type="cellIs" dxfId="726" priority="466" operator="equal">
      <formula>0.25</formula>
    </cfRule>
  </conditionalFormatting>
  <conditionalFormatting sqref="T61">
    <cfRule type="cellIs" dxfId="725" priority="464" operator="equal">
      <formula>0.1</formula>
    </cfRule>
  </conditionalFormatting>
  <conditionalFormatting sqref="Q61">
    <cfRule type="cellIs" dxfId="724" priority="462" operator="equal">
      <formula>0.25</formula>
    </cfRule>
    <cfRule type="cellIs" dxfId="723" priority="463" operator="equal">
      <formula>0.1</formula>
    </cfRule>
  </conditionalFormatting>
  <conditionalFormatting sqref="X61">
    <cfRule type="cellIs" dxfId="722" priority="461" operator="lessThan">
      <formula>0.000001</formula>
    </cfRule>
  </conditionalFormatting>
  <conditionalFormatting sqref="N61">
    <cfRule type="cellIs" dxfId="721" priority="459" operator="lessThan">
      <formula>0.0000001</formula>
    </cfRule>
  </conditionalFormatting>
  <conditionalFormatting sqref="X68:X69">
    <cfRule type="cellIs" dxfId="720" priority="455" operator="lessThan">
      <formula>0.000001</formula>
    </cfRule>
  </conditionalFormatting>
  <conditionalFormatting sqref="X68:X69">
    <cfRule type="cellIs" dxfId="719" priority="454" operator="equal">
      <formula>0.25</formula>
    </cfRule>
  </conditionalFormatting>
  <conditionalFormatting sqref="N68:N69">
    <cfRule type="cellIs" dxfId="718" priority="453" operator="lessThan">
      <formula>0.0000001</formula>
    </cfRule>
  </conditionalFormatting>
  <conditionalFormatting sqref="T76">
    <cfRule type="cellIs" dxfId="717" priority="452" operator="equal">
      <formula>0.1</formula>
    </cfRule>
  </conditionalFormatting>
  <conditionalFormatting sqref="Q76">
    <cfRule type="cellIs" dxfId="716" priority="450" operator="equal">
      <formula>0.25</formula>
    </cfRule>
    <cfRule type="cellIs" dxfId="715" priority="451" operator="equal">
      <formula>0.1</formula>
    </cfRule>
  </conditionalFormatting>
  <conditionalFormatting sqref="X76">
    <cfRule type="cellIs" dxfId="714" priority="449" operator="lessThan">
      <formula>0.000001</formula>
    </cfRule>
  </conditionalFormatting>
  <conditionalFormatting sqref="X76">
    <cfRule type="cellIs" dxfId="713" priority="448" operator="equal">
      <formula>0.25</formula>
    </cfRule>
  </conditionalFormatting>
  <conditionalFormatting sqref="N76">
    <cfRule type="cellIs" dxfId="712" priority="447" operator="lessThan">
      <formula>0.0000001</formula>
    </cfRule>
  </conditionalFormatting>
  <conditionalFormatting sqref="T83:T84">
    <cfRule type="cellIs" dxfId="711" priority="446" operator="equal">
      <formula>0.1</formula>
    </cfRule>
  </conditionalFormatting>
  <conditionalFormatting sqref="Q83:Q84">
    <cfRule type="cellIs" dxfId="710" priority="444" operator="equal">
      <formula>0.25</formula>
    </cfRule>
    <cfRule type="cellIs" dxfId="709" priority="445" operator="equal">
      <formula>0.1</formula>
    </cfRule>
  </conditionalFormatting>
  <conditionalFormatting sqref="X83:X84">
    <cfRule type="cellIs" dxfId="708" priority="442" operator="equal">
      <formula>0.25</formula>
    </cfRule>
  </conditionalFormatting>
  <conditionalFormatting sqref="N83:N84">
    <cfRule type="cellIs" dxfId="707" priority="441" operator="lessThan">
      <formula>0.0000001</formula>
    </cfRule>
  </conditionalFormatting>
  <conditionalFormatting sqref="T91">
    <cfRule type="cellIs" dxfId="706" priority="440" operator="equal">
      <formula>0.1</formula>
    </cfRule>
  </conditionalFormatting>
  <conditionalFormatting sqref="Q91">
    <cfRule type="cellIs" dxfId="705" priority="438" operator="equal">
      <formula>0.25</formula>
    </cfRule>
    <cfRule type="cellIs" dxfId="704" priority="439" operator="equal">
      <formula>0.1</formula>
    </cfRule>
  </conditionalFormatting>
  <conditionalFormatting sqref="X91">
    <cfRule type="cellIs" dxfId="703" priority="437" operator="lessThan">
      <formula>0.000001</formula>
    </cfRule>
  </conditionalFormatting>
  <conditionalFormatting sqref="X91">
    <cfRule type="cellIs" dxfId="702" priority="436" operator="equal">
      <formula>0.25</formula>
    </cfRule>
  </conditionalFormatting>
  <conditionalFormatting sqref="N91">
    <cfRule type="cellIs" dxfId="701" priority="435" operator="lessThan">
      <formula>0.0000001</formula>
    </cfRule>
  </conditionalFormatting>
  <conditionalFormatting sqref="T99:W99 T98">
    <cfRule type="cellIs" dxfId="700" priority="434" operator="equal">
      <formula>0.1</formula>
    </cfRule>
  </conditionalFormatting>
  <conditionalFormatting sqref="Q98:Q99">
    <cfRule type="cellIs" dxfId="699" priority="432" operator="equal">
      <formula>0.25</formula>
    </cfRule>
    <cfRule type="cellIs" dxfId="698" priority="433" operator="equal">
      <formula>0.1</formula>
    </cfRule>
  </conditionalFormatting>
  <conditionalFormatting sqref="X99:Y99 X98">
    <cfRule type="cellIs" dxfId="697" priority="431" operator="lessThan">
      <formula>0.000001</formula>
    </cfRule>
  </conditionalFormatting>
  <conditionalFormatting sqref="X99:Y99 X98">
    <cfRule type="cellIs" dxfId="696" priority="430" operator="equal">
      <formula>0.25</formula>
    </cfRule>
  </conditionalFormatting>
  <conditionalFormatting sqref="N98:N99">
    <cfRule type="cellIs" dxfId="695" priority="429" operator="lessThan">
      <formula>0.0000001</formula>
    </cfRule>
  </conditionalFormatting>
  <conditionalFormatting sqref="X18:Y22">
    <cfRule type="cellIs" dxfId="694" priority="417" operator="lessThan">
      <formula>0.0000001</formula>
    </cfRule>
  </conditionalFormatting>
  <conditionalFormatting sqref="X26:X30">
    <cfRule type="cellIs" dxfId="693" priority="416" operator="lessThan">
      <formula>0.000001</formula>
    </cfRule>
  </conditionalFormatting>
  <conditionalFormatting sqref="X26:X30">
    <cfRule type="cellIs" dxfId="692" priority="415" operator="lessThan">
      <formula>0.0000001</formula>
    </cfRule>
  </conditionalFormatting>
  <conditionalFormatting sqref="X26:X30">
    <cfRule type="cellIs" dxfId="691" priority="414" operator="lessThan">
      <formula>0.0000001</formula>
    </cfRule>
  </conditionalFormatting>
  <conditionalFormatting sqref="X33:X37">
    <cfRule type="cellIs" dxfId="690" priority="413" operator="lessThan">
      <formula>0.000001</formula>
    </cfRule>
  </conditionalFormatting>
  <conditionalFormatting sqref="X33:X37">
    <cfRule type="cellIs" dxfId="689" priority="412" operator="lessThan">
      <formula>0.0000001</formula>
    </cfRule>
  </conditionalFormatting>
  <conditionalFormatting sqref="X33:X37">
    <cfRule type="cellIs" dxfId="688" priority="411" operator="lessThan">
      <formula>0.0000001</formula>
    </cfRule>
  </conditionalFormatting>
  <conditionalFormatting sqref="X41:X45">
    <cfRule type="cellIs" dxfId="687" priority="410" operator="lessThan">
      <formula>0.000001</formula>
    </cfRule>
  </conditionalFormatting>
  <conditionalFormatting sqref="X41:X45">
    <cfRule type="cellIs" dxfId="686" priority="409" operator="lessThan">
      <formula>0.0000001</formula>
    </cfRule>
  </conditionalFormatting>
  <conditionalFormatting sqref="X41:X45">
    <cfRule type="cellIs" dxfId="685" priority="408" operator="lessThan">
      <formula>0.0000001</formula>
    </cfRule>
  </conditionalFormatting>
  <conditionalFormatting sqref="X48:X52">
    <cfRule type="cellIs" dxfId="684" priority="407" operator="lessThan">
      <formula>0.000001</formula>
    </cfRule>
  </conditionalFormatting>
  <conditionalFormatting sqref="X48:X52">
    <cfRule type="cellIs" dxfId="683" priority="406" operator="lessThan">
      <formula>0.0000001</formula>
    </cfRule>
  </conditionalFormatting>
  <conditionalFormatting sqref="X48:X52">
    <cfRule type="cellIs" dxfId="682" priority="405" operator="lessThan">
      <formula>0.0000001</formula>
    </cfRule>
  </conditionalFormatting>
  <conditionalFormatting sqref="X56:X60">
    <cfRule type="cellIs" dxfId="681" priority="404" operator="lessThan">
      <formula>0.000001</formula>
    </cfRule>
  </conditionalFormatting>
  <conditionalFormatting sqref="X56:X60">
    <cfRule type="cellIs" dxfId="680" priority="403" operator="lessThan">
      <formula>0.0000001</formula>
    </cfRule>
  </conditionalFormatting>
  <conditionalFormatting sqref="X56:X60">
    <cfRule type="cellIs" dxfId="679" priority="402" operator="lessThan">
      <formula>0.0000001</formula>
    </cfRule>
  </conditionalFormatting>
  <conditionalFormatting sqref="X63:X67">
    <cfRule type="cellIs" dxfId="678" priority="401" operator="lessThan">
      <formula>0.000001</formula>
    </cfRule>
  </conditionalFormatting>
  <conditionalFormatting sqref="X63:X67">
    <cfRule type="cellIs" dxfId="677" priority="400" operator="lessThan">
      <formula>0.0000001</formula>
    </cfRule>
  </conditionalFormatting>
  <conditionalFormatting sqref="X63:X67">
    <cfRule type="cellIs" dxfId="676" priority="399" operator="lessThan">
      <formula>0.0000001</formula>
    </cfRule>
  </conditionalFormatting>
  <conditionalFormatting sqref="X71:X75">
    <cfRule type="cellIs" dxfId="675" priority="398" operator="lessThan">
      <formula>0.000001</formula>
    </cfRule>
  </conditionalFormatting>
  <conditionalFormatting sqref="X71:X75">
    <cfRule type="cellIs" dxfId="674" priority="397" operator="lessThan">
      <formula>0.0000001</formula>
    </cfRule>
  </conditionalFormatting>
  <conditionalFormatting sqref="X71:X75">
    <cfRule type="cellIs" dxfId="673" priority="396" operator="lessThan">
      <formula>0.0000001</formula>
    </cfRule>
  </conditionalFormatting>
  <conditionalFormatting sqref="X78:X82">
    <cfRule type="cellIs" dxfId="672" priority="394" operator="lessThan">
      <formula>0.0000001</formula>
    </cfRule>
  </conditionalFormatting>
  <conditionalFormatting sqref="X78:X82">
    <cfRule type="cellIs" dxfId="671" priority="393" operator="lessThan">
      <formula>0.0000001</formula>
    </cfRule>
  </conditionalFormatting>
  <conditionalFormatting sqref="X86:X90">
    <cfRule type="cellIs" dxfId="670" priority="392" operator="lessThan">
      <formula>0.000001</formula>
    </cfRule>
  </conditionalFormatting>
  <conditionalFormatting sqref="X86:X90">
    <cfRule type="cellIs" dxfId="669" priority="391" operator="lessThan">
      <formula>0.0000001</formula>
    </cfRule>
  </conditionalFormatting>
  <conditionalFormatting sqref="X86:X90">
    <cfRule type="cellIs" dxfId="668" priority="390" operator="lessThan">
      <formula>0.0000001</formula>
    </cfRule>
  </conditionalFormatting>
  <conditionalFormatting sqref="X93:X97">
    <cfRule type="cellIs" dxfId="667" priority="389" operator="lessThan">
      <formula>0.000001</formula>
    </cfRule>
  </conditionalFormatting>
  <conditionalFormatting sqref="X93:X97">
    <cfRule type="cellIs" dxfId="666" priority="388" operator="lessThan">
      <formula>0.0000001</formula>
    </cfRule>
  </conditionalFormatting>
  <conditionalFormatting sqref="X93:X97">
    <cfRule type="cellIs" dxfId="665" priority="387" operator="lessThan">
      <formula>0.0000001</formula>
    </cfRule>
  </conditionalFormatting>
  <conditionalFormatting sqref="N27:N30">
    <cfRule type="cellIs" dxfId="664" priority="381" operator="lessThan">
      <formula>0.0000001</formula>
    </cfRule>
  </conditionalFormatting>
  <conditionalFormatting sqref="N42:N45">
    <cfRule type="cellIs" dxfId="663" priority="379" operator="lessThan">
      <formula>0.0000001</formula>
    </cfRule>
  </conditionalFormatting>
  <conditionalFormatting sqref="N57:N60">
    <cfRule type="cellIs" dxfId="662" priority="377" operator="lessThan">
      <formula>0.0000001</formula>
    </cfRule>
  </conditionalFormatting>
  <conditionalFormatting sqref="N72:N75">
    <cfRule type="cellIs" dxfId="661" priority="375" operator="lessThan">
      <formula>0.0000001</formula>
    </cfRule>
  </conditionalFormatting>
  <conditionalFormatting sqref="N87:N90">
    <cfRule type="cellIs" dxfId="660" priority="373" operator="lessThan">
      <formula>0.0000001</formula>
    </cfRule>
  </conditionalFormatting>
  <conditionalFormatting sqref="Q18:Q22">
    <cfRule type="cellIs" dxfId="659" priority="370" operator="lessThan">
      <formula>0.0000001</formula>
    </cfRule>
  </conditionalFormatting>
  <conditionalFormatting sqref="Q26:Q30">
    <cfRule type="cellIs" dxfId="658" priority="369" operator="lessThan">
      <formula>0.0000001</formula>
    </cfRule>
  </conditionalFormatting>
  <conditionalFormatting sqref="Q33:Q37">
    <cfRule type="cellIs" dxfId="657" priority="368" operator="lessThan">
      <formula>0.0000001</formula>
    </cfRule>
  </conditionalFormatting>
  <conditionalFormatting sqref="Q41:Q45">
    <cfRule type="cellIs" dxfId="656" priority="367" operator="lessThan">
      <formula>0.0000001</formula>
    </cfRule>
  </conditionalFormatting>
  <conditionalFormatting sqref="Q48:Q52">
    <cfRule type="cellIs" dxfId="655" priority="366" operator="lessThan">
      <formula>0.0000001</formula>
    </cfRule>
  </conditionalFormatting>
  <conditionalFormatting sqref="Q56:Q60">
    <cfRule type="cellIs" dxfId="654" priority="365" operator="lessThan">
      <formula>0.0000001</formula>
    </cfRule>
  </conditionalFormatting>
  <conditionalFormatting sqref="Q63:Q67">
    <cfRule type="cellIs" dxfId="653" priority="364" operator="lessThan">
      <formula>0.0000001</formula>
    </cfRule>
  </conditionalFormatting>
  <conditionalFormatting sqref="Q71:Q75">
    <cfRule type="cellIs" dxfId="652" priority="363" operator="lessThan">
      <formula>0.0000001</formula>
    </cfRule>
  </conditionalFormatting>
  <conditionalFormatting sqref="Q78:Q82">
    <cfRule type="cellIs" dxfId="651" priority="362" operator="lessThan">
      <formula>0.0000001</formula>
    </cfRule>
  </conditionalFormatting>
  <conditionalFormatting sqref="Q86:Q90">
    <cfRule type="cellIs" dxfId="650" priority="361" operator="lessThan">
      <formula>0.0000001</formula>
    </cfRule>
  </conditionalFormatting>
  <conditionalFormatting sqref="Q93:Q97">
    <cfRule type="cellIs" dxfId="649" priority="360" operator="lessThan">
      <formula>0.0000001</formula>
    </cfRule>
  </conditionalFormatting>
  <conditionalFormatting sqref="M45">
    <cfRule type="cellIs" dxfId="648" priority="358" operator="lessThan">
      <formula>0.0000001</formula>
    </cfRule>
  </conditionalFormatting>
  <conditionalFormatting sqref="M59:M60">
    <cfRule type="cellIs" dxfId="647" priority="346" operator="lessThan">
      <formula>0.0000001</formula>
    </cfRule>
  </conditionalFormatting>
  <conditionalFormatting sqref="M74:M75">
    <cfRule type="cellIs" dxfId="646" priority="334" operator="lessThan">
      <formula>0.0000001</formula>
    </cfRule>
  </conditionalFormatting>
  <conditionalFormatting sqref="M89:M90">
    <cfRule type="cellIs" dxfId="645" priority="322" operator="lessThan">
      <formula>0.0000001</formula>
    </cfRule>
  </conditionalFormatting>
  <conditionalFormatting sqref="U78:V82">
    <cfRule type="cellIs" dxfId="644" priority="260" operator="lessThan">
      <formula>0.0000001</formula>
    </cfRule>
  </conditionalFormatting>
  <conditionalFormatting sqref="U18:W22">
    <cfRule type="cellIs" dxfId="643" priority="290" operator="lessThan">
      <formula>0.0000001</formula>
    </cfRule>
  </conditionalFormatting>
  <conditionalFormatting sqref="Y18:Y22">
    <cfRule type="cellIs" dxfId="642" priority="289" operator="lessThan">
      <formula>0.0000001</formula>
    </cfRule>
  </conditionalFormatting>
  <conditionalFormatting sqref="Z18:Z22">
    <cfRule type="cellIs" dxfId="641" priority="288" operator="lessThan">
      <formula>0.0000001</formula>
    </cfRule>
  </conditionalFormatting>
  <conditionalFormatting sqref="W23:W24">
    <cfRule type="cellIs" dxfId="640" priority="287" operator="equal">
      <formula>0.1</formula>
    </cfRule>
  </conditionalFormatting>
  <conditionalFormatting sqref="V23:V24">
    <cfRule type="cellIs" dxfId="639" priority="286" operator="equal">
      <formula>0.1</formula>
    </cfRule>
  </conditionalFormatting>
  <conditionalFormatting sqref="V16">
    <cfRule type="cellIs" dxfId="638" priority="284" operator="equal">
      <formula>0.1</formula>
    </cfRule>
  </conditionalFormatting>
  <conditionalFormatting sqref="I18:M22">
    <cfRule type="cellIs" dxfId="637" priority="77" operator="equal">
      <formula>0.0000001</formula>
    </cfRule>
    <cfRule type="cellIs" dxfId="636" priority="283" operator="equal">
      <formula>0</formula>
    </cfRule>
  </conditionalFormatting>
  <conditionalFormatting sqref="I18:M19">
    <cfRule type="cellIs" dxfId="635" priority="282" operator="equal">
      <formula>0</formula>
    </cfRule>
  </conditionalFormatting>
  <conditionalFormatting sqref="U26:V30">
    <cfRule type="cellIs" dxfId="634" priority="281" operator="lessThan">
      <formula>0.0000001</formula>
    </cfRule>
  </conditionalFormatting>
  <conditionalFormatting sqref="U31">
    <cfRule type="cellIs" dxfId="633" priority="280" operator="equal">
      <formula>0.1</formula>
    </cfRule>
  </conditionalFormatting>
  <conditionalFormatting sqref="U38:U39">
    <cfRule type="cellIs" dxfId="632" priority="279" operator="equal">
      <formula>0.1</formula>
    </cfRule>
  </conditionalFormatting>
  <conditionalFormatting sqref="U33:V37">
    <cfRule type="cellIs" dxfId="631" priority="278" operator="lessThan">
      <formula>0.0000001</formula>
    </cfRule>
  </conditionalFormatting>
  <conditionalFormatting sqref="V38:V39">
    <cfRule type="cellIs" dxfId="630" priority="277" operator="equal">
      <formula>0.1</formula>
    </cfRule>
  </conditionalFormatting>
  <conditionalFormatting sqref="V31">
    <cfRule type="cellIs" dxfId="629" priority="276" operator="equal">
      <formula>0.1</formula>
    </cfRule>
  </conditionalFormatting>
  <conditionalFormatting sqref="U41:V45">
    <cfRule type="cellIs" dxfId="628" priority="275" operator="lessThan">
      <formula>0.0000001</formula>
    </cfRule>
  </conditionalFormatting>
  <conditionalFormatting sqref="U46">
    <cfRule type="cellIs" dxfId="627" priority="274" operator="equal">
      <formula>0.1</formula>
    </cfRule>
  </conditionalFormatting>
  <conditionalFormatting sqref="U53:U54">
    <cfRule type="cellIs" dxfId="626" priority="273" operator="equal">
      <formula>0.1</formula>
    </cfRule>
  </conditionalFormatting>
  <conditionalFormatting sqref="U48:V52">
    <cfRule type="cellIs" dxfId="625" priority="272" operator="lessThan">
      <formula>0.0000001</formula>
    </cfRule>
  </conditionalFormatting>
  <conditionalFormatting sqref="V53:V54">
    <cfRule type="cellIs" dxfId="624" priority="271" operator="equal">
      <formula>0.1</formula>
    </cfRule>
  </conditionalFormatting>
  <conditionalFormatting sqref="V46">
    <cfRule type="cellIs" dxfId="623" priority="270" operator="equal">
      <formula>0.1</formula>
    </cfRule>
  </conditionalFormatting>
  <conditionalFormatting sqref="U56:V60">
    <cfRule type="cellIs" dxfId="622" priority="269" operator="lessThan">
      <formula>0.0000001</formula>
    </cfRule>
  </conditionalFormatting>
  <conditionalFormatting sqref="U61">
    <cfRule type="cellIs" dxfId="621" priority="268" operator="equal">
      <formula>0.1</formula>
    </cfRule>
  </conditionalFormatting>
  <conditionalFormatting sqref="U68:U69">
    <cfRule type="cellIs" dxfId="620" priority="267" operator="equal">
      <formula>0.1</formula>
    </cfRule>
  </conditionalFormatting>
  <conditionalFormatting sqref="U63:V67">
    <cfRule type="cellIs" dxfId="619" priority="266" operator="lessThan">
      <formula>0.0000001</formula>
    </cfRule>
  </conditionalFormatting>
  <conditionalFormatting sqref="V68:V69">
    <cfRule type="cellIs" dxfId="618" priority="265" operator="equal">
      <formula>0.1</formula>
    </cfRule>
  </conditionalFormatting>
  <conditionalFormatting sqref="V61">
    <cfRule type="cellIs" dxfId="617" priority="264" operator="equal">
      <formula>0.1</formula>
    </cfRule>
  </conditionalFormatting>
  <conditionalFormatting sqref="U71:V75">
    <cfRule type="cellIs" dxfId="616" priority="263" operator="lessThan">
      <formula>0.0000001</formula>
    </cfRule>
  </conditionalFormatting>
  <conditionalFormatting sqref="U76">
    <cfRule type="cellIs" dxfId="615" priority="262" operator="equal">
      <formula>0.1</formula>
    </cfRule>
  </conditionalFormatting>
  <conditionalFormatting sqref="U83:U84">
    <cfRule type="cellIs" dxfId="614" priority="261" operator="equal">
      <formula>0.1</formula>
    </cfRule>
  </conditionalFormatting>
  <conditionalFormatting sqref="V83:V84">
    <cfRule type="cellIs" dxfId="613" priority="259" operator="equal">
      <formula>0.1</formula>
    </cfRule>
  </conditionalFormatting>
  <conditionalFormatting sqref="V76">
    <cfRule type="cellIs" dxfId="612" priority="258" operator="equal">
      <formula>0.1</formula>
    </cfRule>
  </conditionalFormatting>
  <conditionalFormatting sqref="U86:V90">
    <cfRule type="cellIs" dxfId="611" priority="257" operator="lessThan">
      <formula>0.0000001</formula>
    </cfRule>
  </conditionalFormatting>
  <conditionalFormatting sqref="U91">
    <cfRule type="cellIs" dxfId="610" priority="256" operator="equal">
      <formula>0.1</formula>
    </cfRule>
  </conditionalFormatting>
  <conditionalFormatting sqref="U98">
    <cfRule type="cellIs" dxfId="609" priority="255" operator="equal">
      <formula>0.1</formula>
    </cfRule>
  </conditionalFormatting>
  <conditionalFormatting sqref="U93:V97">
    <cfRule type="cellIs" dxfId="608" priority="254" operator="lessThan">
      <formula>0.0000001</formula>
    </cfRule>
  </conditionalFormatting>
  <conditionalFormatting sqref="V98">
    <cfRule type="cellIs" dxfId="607" priority="253" operator="equal">
      <formula>0.1</formula>
    </cfRule>
  </conditionalFormatting>
  <conditionalFormatting sqref="V91">
    <cfRule type="cellIs" dxfId="606" priority="252" operator="equal">
      <formula>0.1</formula>
    </cfRule>
  </conditionalFormatting>
  <conditionalFormatting sqref="W26:W30">
    <cfRule type="cellIs" dxfId="605" priority="251" operator="lessThan">
      <formula>0.0000001</formula>
    </cfRule>
  </conditionalFormatting>
  <conditionalFormatting sqref="W31">
    <cfRule type="cellIs" dxfId="604" priority="250" operator="equal">
      <formula>0.1</formula>
    </cfRule>
  </conditionalFormatting>
  <conditionalFormatting sqref="W33:W37">
    <cfRule type="cellIs" dxfId="603" priority="249" operator="lessThan">
      <formula>0.0000001</formula>
    </cfRule>
  </conditionalFormatting>
  <conditionalFormatting sqref="W38:W39">
    <cfRule type="cellIs" dxfId="602" priority="248" operator="equal">
      <formula>0.1</formula>
    </cfRule>
  </conditionalFormatting>
  <conditionalFormatting sqref="W41:W45">
    <cfRule type="cellIs" dxfId="601" priority="247" operator="lessThan">
      <formula>0.0000001</formula>
    </cfRule>
  </conditionalFormatting>
  <conditionalFormatting sqref="W46">
    <cfRule type="cellIs" dxfId="600" priority="246" operator="equal">
      <formula>0.1</formula>
    </cfRule>
  </conditionalFormatting>
  <conditionalFormatting sqref="W48:W52">
    <cfRule type="cellIs" dxfId="599" priority="245" operator="lessThan">
      <formula>0.0000001</formula>
    </cfRule>
  </conditionalFormatting>
  <conditionalFormatting sqref="W53:W54">
    <cfRule type="cellIs" dxfId="598" priority="244" operator="equal">
      <formula>0.1</formula>
    </cfRule>
  </conditionalFormatting>
  <conditionalFormatting sqref="W56:W60">
    <cfRule type="cellIs" dxfId="597" priority="243" operator="lessThan">
      <formula>0.0000001</formula>
    </cfRule>
  </conditionalFormatting>
  <conditionalFormatting sqref="W61">
    <cfRule type="cellIs" dxfId="596" priority="242" operator="equal">
      <formula>0.1</formula>
    </cfRule>
  </conditionalFormatting>
  <conditionalFormatting sqref="W63:W67">
    <cfRule type="cellIs" dxfId="595" priority="241" operator="lessThan">
      <formula>0.0000001</formula>
    </cfRule>
  </conditionalFormatting>
  <conditionalFormatting sqref="W68:W69">
    <cfRule type="cellIs" dxfId="594" priority="240" operator="equal">
      <formula>0.1</formula>
    </cfRule>
  </conditionalFormatting>
  <conditionalFormatting sqref="W71:W75">
    <cfRule type="cellIs" dxfId="593" priority="239" operator="lessThan">
      <formula>0.0000001</formula>
    </cfRule>
  </conditionalFormatting>
  <conditionalFormatting sqref="W76">
    <cfRule type="cellIs" dxfId="592" priority="238" operator="equal">
      <formula>0.1</formula>
    </cfRule>
  </conditionalFormatting>
  <conditionalFormatting sqref="W78:W82">
    <cfRule type="cellIs" dxfId="591" priority="237" operator="lessThan">
      <formula>0.0000001</formula>
    </cfRule>
  </conditionalFormatting>
  <conditionalFormatting sqref="W83:W84">
    <cfRule type="cellIs" dxfId="590" priority="236" operator="equal">
      <formula>0.1</formula>
    </cfRule>
  </conditionalFormatting>
  <conditionalFormatting sqref="W86:W90">
    <cfRule type="cellIs" dxfId="589" priority="235" operator="lessThan">
      <formula>0.0000001</formula>
    </cfRule>
  </conditionalFormatting>
  <conditionalFormatting sqref="W91">
    <cfRule type="cellIs" dxfId="588" priority="234" operator="equal">
      <formula>0.1</formula>
    </cfRule>
  </conditionalFormatting>
  <conditionalFormatting sqref="W93:W97">
    <cfRule type="cellIs" dxfId="587" priority="233" operator="lessThan">
      <formula>0.0000001</formula>
    </cfRule>
  </conditionalFormatting>
  <conditionalFormatting sqref="W98">
    <cfRule type="cellIs" dxfId="586" priority="232" operator="equal">
      <formula>0.1</formula>
    </cfRule>
  </conditionalFormatting>
  <conditionalFormatting sqref="Y26:Y30 Y33:Y37">
    <cfRule type="cellIs" dxfId="585" priority="231" operator="lessThan">
      <formula>0.000001</formula>
    </cfRule>
  </conditionalFormatting>
  <conditionalFormatting sqref="Y26:Y30">
    <cfRule type="cellIs" dxfId="584" priority="230" operator="lessThan">
      <formula>0.0000001</formula>
    </cfRule>
  </conditionalFormatting>
  <conditionalFormatting sqref="Y33:Y37">
    <cfRule type="cellIs" dxfId="583" priority="229" operator="lessThan">
      <formula>0.0000001</formula>
    </cfRule>
  </conditionalFormatting>
  <conditionalFormatting sqref="Y31">
    <cfRule type="cellIs" dxfId="582" priority="228" operator="lessThan">
      <formula>0.000001</formula>
    </cfRule>
  </conditionalFormatting>
  <conditionalFormatting sqref="Y31">
    <cfRule type="cellIs" dxfId="581" priority="227" operator="equal">
      <formula>0.25</formula>
    </cfRule>
  </conditionalFormatting>
  <conditionalFormatting sqref="Y38:Y39">
    <cfRule type="cellIs" dxfId="580" priority="225" operator="equal">
      <formula>0.25</formula>
    </cfRule>
  </conditionalFormatting>
  <conditionalFormatting sqref="Y38:Y39">
    <cfRule type="cellIs" dxfId="579" priority="226" operator="lessThan">
      <formula>0.000001</formula>
    </cfRule>
  </conditionalFormatting>
  <conditionalFormatting sqref="Y33:Y37">
    <cfRule type="cellIs" dxfId="578" priority="223" operator="lessThan">
      <formula>0.0000001</formula>
    </cfRule>
  </conditionalFormatting>
  <conditionalFormatting sqref="Y33:Y37">
    <cfRule type="cellIs" dxfId="577" priority="222" operator="lessThan">
      <formula>0.0000001</formula>
    </cfRule>
  </conditionalFormatting>
  <conditionalFormatting sqref="Y41:Y45 Y48:Y52">
    <cfRule type="cellIs" dxfId="576" priority="221" operator="lessThan">
      <formula>0.000001</formula>
    </cfRule>
  </conditionalFormatting>
  <conditionalFormatting sqref="Y41:Y45">
    <cfRule type="cellIs" dxfId="575" priority="220" operator="lessThan">
      <formula>0.0000001</formula>
    </cfRule>
  </conditionalFormatting>
  <conditionalFormatting sqref="Y48:Y52">
    <cfRule type="cellIs" dxfId="574" priority="219" operator="lessThan">
      <formula>0.0000001</formula>
    </cfRule>
  </conditionalFormatting>
  <conditionalFormatting sqref="Y46">
    <cfRule type="cellIs" dxfId="573" priority="218" operator="lessThan">
      <formula>0.000001</formula>
    </cfRule>
  </conditionalFormatting>
  <conditionalFormatting sqref="Y46">
    <cfRule type="cellIs" dxfId="572" priority="217" operator="equal">
      <formula>0.25</formula>
    </cfRule>
  </conditionalFormatting>
  <conditionalFormatting sqref="Y53:Y54">
    <cfRule type="cellIs" dxfId="571" priority="215" operator="equal">
      <formula>0.25</formula>
    </cfRule>
  </conditionalFormatting>
  <conditionalFormatting sqref="Y53:Y54">
    <cfRule type="cellIs" dxfId="570" priority="216" operator="lessThan">
      <formula>0.000001</formula>
    </cfRule>
  </conditionalFormatting>
  <conditionalFormatting sqref="Y48:Y52">
    <cfRule type="cellIs" dxfId="569" priority="213" operator="lessThan">
      <formula>0.0000001</formula>
    </cfRule>
  </conditionalFormatting>
  <conditionalFormatting sqref="Y48:Y52">
    <cfRule type="cellIs" dxfId="568" priority="212" operator="lessThan">
      <formula>0.0000001</formula>
    </cfRule>
  </conditionalFormatting>
  <conditionalFormatting sqref="Y56:Y60 Y63:Y67">
    <cfRule type="cellIs" dxfId="567" priority="211" operator="lessThan">
      <formula>0.000001</formula>
    </cfRule>
  </conditionalFormatting>
  <conditionalFormatting sqref="Y56:Y60">
    <cfRule type="cellIs" dxfId="566" priority="210" operator="lessThan">
      <formula>0.0000001</formula>
    </cfRule>
  </conditionalFormatting>
  <conditionalFormatting sqref="Y63:Y67">
    <cfRule type="cellIs" dxfId="565" priority="209" operator="lessThan">
      <formula>0.0000001</formula>
    </cfRule>
  </conditionalFormatting>
  <conditionalFormatting sqref="Y61">
    <cfRule type="cellIs" dxfId="564" priority="208" operator="lessThan">
      <formula>0.000001</formula>
    </cfRule>
  </conditionalFormatting>
  <conditionalFormatting sqref="Y61">
    <cfRule type="cellIs" dxfId="563" priority="207" operator="equal">
      <formula>0.25</formula>
    </cfRule>
  </conditionalFormatting>
  <conditionalFormatting sqref="Y68:Y69">
    <cfRule type="cellIs" dxfId="562" priority="205" operator="equal">
      <formula>0.25</formula>
    </cfRule>
  </conditionalFormatting>
  <conditionalFormatting sqref="Y68:Y69">
    <cfRule type="cellIs" dxfId="561" priority="206" operator="lessThan">
      <formula>0.000001</formula>
    </cfRule>
  </conditionalFormatting>
  <conditionalFormatting sqref="Y63:Y67">
    <cfRule type="cellIs" dxfId="560" priority="203" operator="lessThan">
      <formula>0.0000001</formula>
    </cfRule>
  </conditionalFormatting>
  <conditionalFormatting sqref="Y63:Y67">
    <cfRule type="cellIs" dxfId="559" priority="202" operator="lessThan">
      <formula>0.0000001</formula>
    </cfRule>
  </conditionalFormatting>
  <conditionalFormatting sqref="Y71:Y75 Y78:Y82">
    <cfRule type="cellIs" dxfId="558" priority="201" operator="lessThan">
      <formula>0.000001</formula>
    </cfRule>
  </conditionalFormatting>
  <conditionalFormatting sqref="Y71:Y75">
    <cfRule type="cellIs" dxfId="557" priority="200" operator="lessThan">
      <formula>0.0000001</formula>
    </cfRule>
  </conditionalFormatting>
  <conditionalFormatting sqref="Y78:Y82">
    <cfRule type="cellIs" dxfId="556" priority="199" operator="lessThan">
      <formula>0.0000001</formula>
    </cfRule>
  </conditionalFormatting>
  <conditionalFormatting sqref="Y76">
    <cfRule type="cellIs" dxfId="555" priority="198" operator="lessThan">
      <formula>0.000001</formula>
    </cfRule>
  </conditionalFormatting>
  <conditionalFormatting sqref="Y76">
    <cfRule type="cellIs" dxfId="554" priority="197" operator="equal">
      <formula>0.25</formula>
    </cfRule>
  </conditionalFormatting>
  <conditionalFormatting sqref="Y83:Y84">
    <cfRule type="cellIs" dxfId="553" priority="195" operator="equal">
      <formula>0.25</formula>
    </cfRule>
  </conditionalFormatting>
  <conditionalFormatting sqref="Y83:Y84">
    <cfRule type="cellIs" dxfId="552" priority="196" operator="lessThan">
      <formula>0.000001</formula>
    </cfRule>
  </conditionalFormatting>
  <conditionalFormatting sqref="Y78:Y82">
    <cfRule type="cellIs" dxfId="551" priority="193" operator="lessThan">
      <formula>0.0000001</formula>
    </cfRule>
  </conditionalFormatting>
  <conditionalFormatting sqref="Y78:Y82">
    <cfRule type="cellIs" dxfId="550" priority="192" operator="lessThan">
      <formula>0.0000001</formula>
    </cfRule>
  </conditionalFormatting>
  <conditionalFormatting sqref="Y86:Y90 Y93:Y97">
    <cfRule type="cellIs" dxfId="549" priority="191" operator="lessThan">
      <formula>0.000001</formula>
    </cfRule>
  </conditionalFormatting>
  <conditionalFormatting sqref="Y86:Y90">
    <cfRule type="cellIs" dxfId="548" priority="190" operator="lessThan">
      <formula>0.0000001</formula>
    </cfRule>
  </conditionalFormatting>
  <conditionalFormatting sqref="Y93:Y97">
    <cfRule type="cellIs" dxfId="547" priority="189" operator="lessThan">
      <formula>0.0000001</formula>
    </cfRule>
  </conditionalFormatting>
  <conditionalFormatting sqref="Y91">
    <cfRule type="cellIs" dxfId="546" priority="188" operator="lessThan">
      <formula>0.000001</formula>
    </cfRule>
  </conditionalFormatting>
  <conditionalFormatting sqref="Y91">
    <cfRule type="cellIs" dxfId="545" priority="187" operator="equal">
      <formula>0.25</formula>
    </cfRule>
  </conditionalFormatting>
  <conditionalFormatting sqref="Y98">
    <cfRule type="cellIs" dxfId="544" priority="185" operator="equal">
      <formula>0.25</formula>
    </cfRule>
  </conditionalFormatting>
  <conditionalFormatting sqref="Y98">
    <cfRule type="cellIs" dxfId="543" priority="186" operator="lessThan">
      <formula>0.000001</formula>
    </cfRule>
  </conditionalFormatting>
  <conditionalFormatting sqref="Y93:Y97">
    <cfRule type="cellIs" dxfId="542" priority="183" operator="lessThan">
      <formula>0.0000001</formula>
    </cfRule>
  </conditionalFormatting>
  <conditionalFormatting sqref="Y93:Y97">
    <cfRule type="cellIs" dxfId="541" priority="182" operator="lessThan">
      <formula>0.0000001</formula>
    </cfRule>
  </conditionalFormatting>
  <conditionalFormatting sqref="Y62">
    <cfRule type="cellIs" dxfId="540" priority="128" operator="lessThan">
      <formula>0.0000001</formula>
    </cfRule>
  </conditionalFormatting>
  <conditionalFormatting sqref="M26:M28">
    <cfRule type="cellIs" dxfId="539" priority="167" operator="lessThan">
      <formula>0.0000001</formula>
    </cfRule>
  </conditionalFormatting>
  <conditionalFormatting sqref="M71:M73">
    <cfRule type="cellIs" dxfId="538" priority="164" operator="lessThan">
      <formula>0.0000001</formula>
    </cfRule>
  </conditionalFormatting>
  <conditionalFormatting sqref="M56:M58">
    <cfRule type="cellIs" dxfId="537" priority="165" operator="lessThan">
      <formula>0.0000001</formula>
    </cfRule>
  </conditionalFormatting>
  <conditionalFormatting sqref="M86:M88">
    <cfRule type="cellIs" dxfId="536" priority="163" operator="lessThan">
      <formula>0.0000001</formula>
    </cfRule>
  </conditionalFormatting>
  <conditionalFormatting sqref="Z11:AB15 Z18:AB22 Z26:AB30 Z33:AB37 Z41:AB45 Z48:AB52 Z56:AB60 Z63:AB67 Z71:AB75 Z78:AB82 Z86:AB90 Z93:AB97">
    <cfRule type="cellIs" dxfId="535" priority="162" operator="equal">
      <formula>0</formula>
    </cfRule>
  </conditionalFormatting>
  <conditionalFormatting sqref="T11:X15 T18:X22 T26:X30 T33:X37 T41:X45 T48:X52 T56:X60 T63:X67 T71:X75 T78:X82 T86:X90 T93:X97">
    <cfRule type="cellIs" dxfId="534" priority="161" operator="equal">
      <formula>0</formula>
    </cfRule>
  </conditionalFormatting>
  <conditionalFormatting sqref="Y11:Y15 Y18:Y22 Y26:Y30 Y33:Y37 Y41:Y45 Y48:Y52 Y56:Y60 Y63:Y67 Y71:Y75 Y78:Y82 Y86:Y90 Y93:Y97">
    <cfRule type="cellIs" dxfId="533" priority="160" operator="lessThan">
      <formula>0.0001</formula>
    </cfRule>
  </conditionalFormatting>
  <conditionalFormatting sqref="X25">
    <cfRule type="cellIs" dxfId="532" priority="159" operator="lessThan">
      <formula>0.000001</formula>
    </cfRule>
  </conditionalFormatting>
  <conditionalFormatting sqref="X40">
    <cfRule type="cellIs" dxfId="531" priority="158" operator="lessThan">
      <formula>0.000001</formula>
    </cfRule>
  </conditionalFormatting>
  <conditionalFormatting sqref="X55">
    <cfRule type="cellIs" dxfId="530" priority="157" operator="lessThan">
      <formula>0.000001</formula>
    </cfRule>
  </conditionalFormatting>
  <conditionalFormatting sqref="X70">
    <cfRule type="cellIs" dxfId="529" priority="156" operator="lessThan">
      <formula>0.000001</formula>
    </cfRule>
  </conditionalFormatting>
  <conditionalFormatting sqref="X85">
    <cfRule type="cellIs" dxfId="528" priority="155" operator="lessThan">
      <formula>0.000001</formula>
    </cfRule>
  </conditionalFormatting>
  <conditionalFormatting sqref="X17:Y17">
    <cfRule type="cellIs" dxfId="527" priority="153" operator="lessThan">
      <formula>0.000001</formula>
    </cfRule>
  </conditionalFormatting>
  <conditionalFormatting sqref="T17 X17:Y17">
    <cfRule type="cellIs" dxfId="526" priority="152" operator="lessThan">
      <formula>0.0000001</formula>
    </cfRule>
  </conditionalFormatting>
  <conditionalFormatting sqref="X17:Y17">
    <cfRule type="cellIs" dxfId="525" priority="151" operator="lessThan">
      <formula>0.0000001</formula>
    </cfRule>
  </conditionalFormatting>
  <conditionalFormatting sqref="U17:W17">
    <cfRule type="cellIs" dxfId="524" priority="150" operator="lessThan">
      <formula>0.0000001</formula>
    </cfRule>
  </conditionalFormatting>
  <conditionalFormatting sqref="Y17">
    <cfRule type="cellIs" dxfId="523" priority="149" operator="lessThan">
      <formula>0.0000001</formula>
    </cfRule>
  </conditionalFormatting>
  <conditionalFormatting sqref="T17:X17">
    <cfRule type="cellIs" dxfId="522" priority="148" operator="equal">
      <formula>0</formula>
    </cfRule>
  </conditionalFormatting>
  <conditionalFormatting sqref="Y17">
    <cfRule type="cellIs" dxfId="521" priority="147" operator="lessThan">
      <formula>0.0001</formula>
    </cfRule>
  </conditionalFormatting>
  <conditionalFormatting sqref="X32:Y32">
    <cfRule type="cellIs" dxfId="520" priority="146" operator="lessThan">
      <formula>0.000001</formula>
    </cfRule>
  </conditionalFormatting>
  <conditionalFormatting sqref="T32 X32:Y32">
    <cfRule type="cellIs" dxfId="519" priority="145" operator="lessThan">
      <formula>0.0000001</formula>
    </cfRule>
  </conditionalFormatting>
  <conditionalFormatting sqref="X32:Y32">
    <cfRule type="cellIs" dxfId="518" priority="144" operator="lessThan">
      <formula>0.0000001</formula>
    </cfRule>
  </conditionalFormatting>
  <conditionalFormatting sqref="U32:W32">
    <cfRule type="cellIs" dxfId="517" priority="143" operator="lessThan">
      <formula>0.0000001</formula>
    </cfRule>
  </conditionalFormatting>
  <conditionalFormatting sqref="Y32">
    <cfRule type="cellIs" dxfId="516" priority="142" operator="lessThan">
      <formula>0.0000001</formula>
    </cfRule>
  </conditionalFormatting>
  <conditionalFormatting sqref="T32:X32">
    <cfRule type="cellIs" dxfId="515" priority="141" operator="equal">
      <formula>0</formula>
    </cfRule>
  </conditionalFormatting>
  <conditionalFormatting sqref="Y32">
    <cfRule type="cellIs" dxfId="514" priority="140" operator="lessThan">
      <formula>0.0001</formula>
    </cfRule>
  </conditionalFormatting>
  <conditionalFormatting sqref="X47:Y47">
    <cfRule type="cellIs" dxfId="513" priority="139" operator="lessThan">
      <formula>0.000001</formula>
    </cfRule>
  </conditionalFormatting>
  <conditionalFormatting sqref="T47 X47:Y47">
    <cfRule type="cellIs" dxfId="512" priority="138" operator="lessThan">
      <formula>0.0000001</formula>
    </cfRule>
  </conditionalFormatting>
  <conditionalFormatting sqref="X47:Y47">
    <cfRule type="cellIs" dxfId="511" priority="137" operator="lessThan">
      <formula>0.0000001</formula>
    </cfRule>
  </conditionalFormatting>
  <conditionalFormatting sqref="U47:W47">
    <cfRule type="cellIs" dxfId="510" priority="136" operator="lessThan">
      <formula>0.0000001</formula>
    </cfRule>
  </conditionalFormatting>
  <conditionalFormatting sqref="Y47">
    <cfRule type="cellIs" dxfId="509" priority="135" operator="lessThan">
      <formula>0.0000001</formula>
    </cfRule>
  </conditionalFormatting>
  <conditionalFormatting sqref="T47:X47">
    <cfRule type="cellIs" dxfId="508" priority="134" operator="equal">
      <formula>0</formula>
    </cfRule>
  </conditionalFormatting>
  <conditionalFormatting sqref="Y47">
    <cfRule type="cellIs" dxfId="507" priority="133" operator="lessThan">
      <formula>0.0001</formula>
    </cfRule>
  </conditionalFormatting>
  <conditionalFormatting sqref="X62:Y62">
    <cfRule type="cellIs" dxfId="506" priority="132" operator="lessThan">
      <formula>0.000001</formula>
    </cfRule>
  </conditionalFormatting>
  <conditionalFormatting sqref="T62 X62:Y62">
    <cfRule type="cellIs" dxfId="505" priority="131" operator="lessThan">
      <formula>0.0000001</formula>
    </cfRule>
  </conditionalFormatting>
  <conditionalFormatting sqref="X62:Y62">
    <cfRule type="cellIs" dxfId="504" priority="130" operator="lessThan">
      <formula>0.0000001</formula>
    </cfRule>
  </conditionalFormatting>
  <conditionalFormatting sqref="U62:W62">
    <cfRule type="cellIs" dxfId="503" priority="129" operator="lessThan">
      <formula>0.0000001</formula>
    </cfRule>
  </conditionalFormatting>
  <conditionalFormatting sqref="T62:X62">
    <cfRule type="cellIs" dxfId="502" priority="127" operator="equal">
      <formula>0</formula>
    </cfRule>
  </conditionalFormatting>
  <conditionalFormatting sqref="Y62">
    <cfRule type="cellIs" dxfId="501" priority="126" operator="lessThan">
      <formula>0.0001</formula>
    </cfRule>
  </conditionalFormatting>
  <conditionalFormatting sqref="X77:Y77">
    <cfRule type="cellIs" dxfId="500" priority="125" operator="lessThan">
      <formula>0.000001</formula>
    </cfRule>
  </conditionalFormatting>
  <conditionalFormatting sqref="T77 X77:Y77">
    <cfRule type="cellIs" dxfId="499" priority="124" operator="lessThan">
      <formula>0.0000001</formula>
    </cfRule>
  </conditionalFormatting>
  <conditionalFormatting sqref="X77:Y77">
    <cfRule type="cellIs" dxfId="498" priority="123" operator="lessThan">
      <formula>0.0000001</formula>
    </cfRule>
  </conditionalFormatting>
  <conditionalFormatting sqref="U77:W77">
    <cfRule type="cellIs" dxfId="497" priority="122" operator="lessThan">
      <formula>0.0000001</formula>
    </cfRule>
  </conditionalFormatting>
  <conditionalFormatting sqref="Y77">
    <cfRule type="cellIs" dxfId="496" priority="121" operator="lessThan">
      <formula>0.0000001</formula>
    </cfRule>
  </conditionalFormatting>
  <conditionalFormatting sqref="T77:X77">
    <cfRule type="cellIs" dxfId="495" priority="120" operator="equal">
      <formula>0</formula>
    </cfRule>
  </conditionalFormatting>
  <conditionalFormatting sqref="Y77">
    <cfRule type="cellIs" dxfId="494" priority="119" operator="lessThan">
      <formula>0.0001</formula>
    </cfRule>
  </conditionalFormatting>
  <conditionalFormatting sqref="X92:Y92">
    <cfRule type="cellIs" dxfId="493" priority="118" operator="lessThan">
      <formula>0.000001</formula>
    </cfRule>
  </conditionalFormatting>
  <conditionalFormatting sqref="T92 X92:Y92">
    <cfRule type="cellIs" dxfId="492" priority="117" operator="lessThan">
      <formula>0.0000001</formula>
    </cfRule>
  </conditionalFormatting>
  <conditionalFormatting sqref="X92:Y92">
    <cfRule type="cellIs" dxfId="491" priority="116" operator="lessThan">
      <formula>0.0000001</formula>
    </cfRule>
  </conditionalFormatting>
  <conditionalFormatting sqref="U92:W92">
    <cfRule type="cellIs" dxfId="490" priority="115" operator="lessThan">
      <formula>0.0000001</formula>
    </cfRule>
  </conditionalFormatting>
  <conditionalFormatting sqref="Y92">
    <cfRule type="cellIs" dxfId="489" priority="114" operator="lessThan">
      <formula>0.0000001</formula>
    </cfRule>
  </conditionalFormatting>
  <conditionalFormatting sqref="T92:X92">
    <cfRule type="cellIs" dxfId="488" priority="113" operator="equal">
      <formula>0</formula>
    </cfRule>
  </conditionalFormatting>
  <conditionalFormatting sqref="Y92">
    <cfRule type="cellIs" dxfId="487" priority="112" operator="lessThan">
      <formula>0.0001</formula>
    </cfRule>
  </conditionalFormatting>
  <conditionalFormatting sqref="N46">
    <cfRule type="cellIs" dxfId="486" priority="111" operator="lessThan">
      <formula>0.0000001</formula>
    </cfRule>
  </conditionalFormatting>
  <conditionalFormatting sqref="H19:H22">
    <cfRule type="cellIs" dxfId="485" priority="93" operator="lessThan">
      <formula>0.0000001</formula>
    </cfRule>
  </conditionalFormatting>
  <conditionalFormatting sqref="H64:H67">
    <cfRule type="cellIs" dxfId="484" priority="62" operator="lessThan">
      <formula>0.0000001</formula>
    </cfRule>
  </conditionalFormatting>
  <conditionalFormatting sqref="W71:W75">
    <cfRule type="cellIs" dxfId="483" priority="24" operator="lessThan">
      <formula>0.0000001</formula>
    </cfRule>
  </conditionalFormatting>
  <conditionalFormatting sqref="W63:W67">
    <cfRule type="cellIs" dxfId="482" priority="29" operator="lessThan">
      <formula>0.0000001</formula>
    </cfRule>
  </conditionalFormatting>
  <conditionalFormatting sqref="W48:W52">
    <cfRule type="cellIs" dxfId="481" priority="34" operator="lessThan">
      <formula>0.0000001</formula>
    </cfRule>
  </conditionalFormatting>
  <conditionalFormatting sqref="W33:W37">
    <cfRule type="cellIs" dxfId="480" priority="39" operator="lessThan">
      <formula>0.0000001</formula>
    </cfRule>
  </conditionalFormatting>
  <conditionalFormatting sqref="I11:L15">
    <cfRule type="cellIs" dxfId="479" priority="86" operator="equal">
      <formula>0.0000001</formula>
    </cfRule>
  </conditionalFormatting>
  <conditionalFormatting sqref="I26:L26 I28:L30 J27:L27">
    <cfRule type="cellIs" dxfId="478" priority="85" operator="equal">
      <formula>0.0000001</formula>
    </cfRule>
  </conditionalFormatting>
  <conditionalFormatting sqref="I43:L45 J41:L42">
    <cfRule type="cellIs" dxfId="477" priority="84" operator="equal">
      <formula>0.0000001</formula>
    </cfRule>
  </conditionalFormatting>
  <conditionalFormatting sqref="I56:L60">
    <cfRule type="cellIs" dxfId="476" priority="83" operator="equal">
      <formula>0.0000001</formula>
    </cfRule>
  </conditionalFormatting>
  <conditionalFormatting sqref="I71:L75">
    <cfRule type="cellIs" dxfId="475" priority="82" operator="equal">
      <formula>0.0000001</formula>
    </cfRule>
  </conditionalFormatting>
  <conditionalFormatting sqref="I86:L90">
    <cfRule type="cellIs" dxfId="474" priority="81" operator="equal">
      <formula>0.0000001</formula>
    </cfRule>
  </conditionalFormatting>
  <conditionalFormatting sqref="M11:M14">
    <cfRule type="cellIs" dxfId="473" priority="80" operator="lessThan">
      <formula>0.0000001</formula>
    </cfRule>
  </conditionalFormatting>
  <conditionalFormatting sqref="I18:L22">
    <cfRule type="cellIs" dxfId="472" priority="78" operator="equal">
      <formula>0.0000001</formula>
    </cfRule>
    <cfRule type="cellIs" dxfId="471" priority="79" operator="equal">
      <formula>0.000001</formula>
    </cfRule>
  </conditionalFormatting>
  <conditionalFormatting sqref="I33:M37">
    <cfRule type="cellIs" dxfId="470" priority="71" operator="equal">
      <formula>0.0000001</formula>
    </cfRule>
    <cfRule type="cellIs" dxfId="469" priority="76" operator="equal">
      <formula>0</formula>
    </cfRule>
  </conditionalFormatting>
  <conditionalFormatting sqref="I33:M34">
    <cfRule type="cellIs" dxfId="468" priority="75" operator="equal">
      <formula>0</formula>
    </cfRule>
  </conditionalFormatting>
  <conditionalFormatting sqref="H34:H37">
    <cfRule type="cellIs" dxfId="467" priority="74" operator="lessThan">
      <formula>0.0000001</formula>
    </cfRule>
  </conditionalFormatting>
  <conditionalFormatting sqref="I33:L37">
    <cfRule type="cellIs" dxfId="466" priority="72" operator="equal">
      <formula>0.0000001</formula>
    </cfRule>
    <cfRule type="cellIs" dxfId="465" priority="73" operator="equal">
      <formula>0.000001</formula>
    </cfRule>
  </conditionalFormatting>
  <conditionalFormatting sqref="I48:M52">
    <cfRule type="cellIs" dxfId="464" priority="65" operator="equal">
      <formula>0.0000001</formula>
    </cfRule>
    <cfRule type="cellIs" dxfId="463" priority="70" operator="equal">
      <formula>0</formula>
    </cfRule>
  </conditionalFormatting>
  <conditionalFormatting sqref="I48:M49">
    <cfRule type="cellIs" dxfId="462" priority="69" operator="equal">
      <formula>0</formula>
    </cfRule>
  </conditionalFormatting>
  <conditionalFormatting sqref="H49:H52">
    <cfRule type="cellIs" dxfId="461" priority="68" operator="lessThan">
      <formula>0.0000001</formula>
    </cfRule>
  </conditionalFormatting>
  <conditionalFormatting sqref="I48:L52">
    <cfRule type="cellIs" dxfId="460" priority="66" operator="equal">
      <formula>0.0000001</formula>
    </cfRule>
    <cfRule type="cellIs" dxfId="459" priority="67" operator="equal">
      <formula>0.000001</formula>
    </cfRule>
  </conditionalFormatting>
  <conditionalFormatting sqref="I63:M67">
    <cfRule type="cellIs" dxfId="458" priority="59" operator="equal">
      <formula>0.0000001</formula>
    </cfRule>
    <cfRule type="cellIs" dxfId="457" priority="64" operator="equal">
      <formula>0</formula>
    </cfRule>
  </conditionalFormatting>
  <conditionalFormatting sqref="I63:M64">
    <cfRule type="cellIs" dxfId="456" priority="63" operator="equal">
      <formula>0</formula>
    </cfRule>
  </conditionalFormatting>
  <conditionalFormatting sqref="W78:W82">
    <cfRule type="cellIs" dxfId="455" priority="19" operator="lessThan">
      <formula>0.0000001</formula>
    </cfRule>
  </conditionalFormatting>
  <conditionalFormatting sqref="I63:L67">
    <cfRule type="cellIs" dxfId="454" priority="60" operator="equal">
      <formula>0.0000001</formula>
    </cfRule>
    <cfRule type="cellIs" dxfId="453" priority="61" operator="equal">
      <formula>0.000001</formula>
    </cfRule>
  </conditionalFormatting>
  <conditionalFormatting sqref="I78:M82">
    <cfRule type="cellIs" dxfId="452" priority="53" operator="equal">
      <formula>0.0000001</formula>
    </cfRule>
    <cfRule type="cellIs" dxfId="451" priority="58" operator="equal">
      <formula>0</formula>
    </cfRule>
  </conditionalFormatting>
  <conditionalFormatting sqref="I78:M79">
    <cfRule type="cellIs" dxfId="450" priority="57" operator="equal">
      <formula>0</formula>
    </cfRule>
  </conditionalFormatting>
  <conditionalFormatting sqref="H79:H82">
    <cfRule type="cellIs" dxfId="449" priority="56" operator="lessThan">
      <formula>0.0000001</formula>
    </cfRule>
  </conditionalFormatting>
  <conditionalFormatting sqref="I78:L82">
    <cfRule type="cellIs" dxfId="448" priority="54" operator="equal">
      <formula>0.0000001</formula>
    </cfRule>
    <cfRule type="cellIs" dxfId="447" priority="55" operator="equal">
      <formula>0.000001</formula>
    </cfRule>
  </conditionalFormatting>
  <conditionalFormatting sqref="I93:M97">
    <cfRule type="cellIs" dxfId="446" priority="47" operator="equal">
      <formula>0.0000001</formula>
    </cfRule>
    <cfRule type="cellIs" dxfId="445" priority="52" operator="equal">
      <formula>0</formula>
    </cfRule>
  </conditionalFormatting>
  <conditionalFormatting sqref="I93:M94">
    <cfRule type="cellIs" dxfId="444" priority="51" operator="equal">
      <formula>0</formula>
    </cfRule>
  </conditionalFormatting>
  <conditionalFormatting sqref="H94:H97">
    <cfRule type="cellIs" dxfId="443" priority="50" operator="lessThan">
      <formula>0.0000001</formula>
    </cfRule>
  </conditionalFormatting>
  <conditionalFormatting sqref="I93:L97">
    <cfRule type="cellIs" dxfId="442" priority="48" operator="equal">
      <formula>0.0000001</formula>
    </cfRule>
    <cfRule type="cellIs" dxfId="441" priority="49" operator="equal">
      <formula>0.000001</formula>
    </cfRule>
  </conditionalFormatting>
  <conditionalFormatting sqref="Y25">
    <cfRule type="cellIs" dxfId="440" priority="46" operator="lessThan">
      <formula>0.000001</formula>
    </cfRule>
  </conditionalFormatting>
  <conditionalFormatting sqref="Y40">
    <cfRule type="cellIs" dxfId="439" priority="45" operator="lessThan">
      <formula>0.000001</formula>
    </cfRule>
  </conditionalFormatting>
  <conditionalFormatting sqref="Y55">
    <cfRule type="cellIs" dxfId="438" priority="44" operator="lessThan">
      <formula>0.000001</formula>
    </cfRule>
  </conditionalFormatting>
  <conditionalFormatting sqref="Y70">
    <cfRule type="cellIs" dxfId="437" priority="43" operator="lessThan">
      <formula>0.000001</formula>
    </cfRule>
  </conditionalFormatting>
  <conditionalFormatting sqref="Y85">
    <cfRule type="cellIs" dxfId="436" priority="42" operator="lessThan">
      <formula>0.000001</formula>
    </cfRule>
  </conditionalFormatting>
  <conditionalFormatting sqref="M41:M44">
    <cfRule type="cellIs" dxfId="435" priority="4" operator="lessThan">
      <formula>0.0000001</formula>
    </cfRule>
  </conditionalFormatting>
  <conditionalFormatting sqref="W18:W22">
    <cfRule type="cellIs" dxfId="434" priority="41" operator="lessThan">
      <formula>0.0000001</formula>
    </cfRule>
  </conditionalFormatting>
  <conditionalFormatting sqref="W26:W30">
    <cfRule type="cellIs" dxfId="433" priority="40" operator="lessThan">
      <formula>0.0000001</formula>
    </cfRule>
  </conditionalFormatting>
  <conditionalFormatting sqref="W33:W37">
    <cfRule type="cellIs" dxfId="432" priority="38" operator="lessThan">
      <formula>0.0000001</formula>
    </cfRule>
  </conditionalFormatting>
  <conditionalFormatting sqref="W41:W45">
    <cfRule type="cellIs" dxfId="431" priority="37" operator="lessThan">
      <formula>0.0000001</formula>
    </cfRule>
  </conditionalFormatting>
  <conditionalFormatting sqref="W41:W45">
    <cfRule type="cellIs" dxfId="430" priority="36" operator="lessThan">
      <formula>0.0000001</formula>
    </cfRule>
  </conditionalFormatting>
  <conditionalFormatting sqref="W48:W52">
    <cfRule type="cellIs" dxfId="429" priority="35" operator="lessThan">
      <formula>0.0000001</formula>
    </cfRule>
  </conditionalFormatting>
  <conditionalFormatting sqref="W48:W52">
    <cfRule type="cellIs" dxfId="428" priority="33" operator="lessThan">
      <formula>0.0000001</formula>
    </cfRule>
  </conditionalFormatting>
  <conditionalFormatting sqref="W56:W60">
    <cfRule type="cellIs" dxfId="427" priority="32" operator="lessThan">
      <formula>0.0000001</formula>
    </cfRule>
  </conditionalFormatting>
  <conditionalFormatting sqref="W56:W60">
    <cfRule type="cellIs" dxfId="426" priority="31" operator="lessThan">
      <formula>0.0000001</formula>
    </cfRule>
  </conditionalFormatting>
  <conditionalFormatting sqref="W56:W60">
    <cfRule type="cellIs" dxfId="425" priority="30" operator="lessThan">
      <formula>0.0000001</formula>
    </cfRule>
  </conditionalFormatting>
  <conditionalFormatting sqref="W63:W67">
    <cfRule type="cellIs" dxfId="424" priority="28" operator="lessThan">
      <formula>0.0000001</formula>
    </cfRule>
  </conditionalFormatting>
  <conditionalFormatting sqref="W63:W67">
    <cfRule type="cellIs" dxfId="423" priority="27" operator="lessThan">
      <formula>0.0000001</formula>
    </cfRule>
  </conditionalFormatting>
  <conditionalFormatting sqref="W63:W67">
    <cfRule type="cellIs" dxfId="422" priority="26" operator="lessThan">
      <formula>0.0000001</formula>
    </cfRule>
  </conditionalFormatting>
  <conditionalFormatting sqref="W71:W75">
    <cfRule type="cellIs" dxfId="421" priority="25" operator="lessThan">
      <formula>0.0000001</formula>
    </cfRule>
  </conditionalFormatting>
  <conditionalFormatting sqref="W71:W75">
    <cfRule type="cellIs" dxfId="420" priority="23" operator="lessThan">
      <formula>0.0000001</formula>
    </cfRule>
  </conditionalFormatting>
  <conditionalFormatting sqref="W71:W75">
    <cfRule type="cellIs" dxfId="419" priority="22" operator="lessThan">
      <formula>0.0000001</formula>
    </cfRule>
  </conditionalFormatting>
  <conditionalFormatting sqref="W78:W82">
    <cfRule type="cellIs" dxfId="418" priority="21" operator="lessThan">
      <formula>0.0000001</formula>
    </cfRule>
  </conditionalFormatting>
  <conditionalFormatting sqref="W78:W82">
    <cfRule type="cellIs" dxfId="417" priority="20" operator="lessThan">
      <formula>0.0000001</formula>
    </cfRule>
  </conditionalFormatting>
  <conditionalFormatting sqref="W78:W82">
    <cfRule type="cellIs" dxfId="416" priority="18" operator="lessThan">
      <formula>0.0000001</formula>
    </cfRule>
  </conditionalFormatting>
  <conditionalFormatting sqref="W78:W82">
    <cfRule type="cellIs" dxfId="415" priority="17" operator="lessThan">
      <formula>0.0000001</formula>
    </cfRule>
  </conditionalFormatting>
  <conditionalFormatting sqref="W86:W90">
    <cfRule type="cellIs" dxfId="414" priority="16" operator="lessThan">
      <formula>0.0000001</formula>
    </cfRule>
  </conditionalFormatting>
  <conditionalFormatting sqref="W86:W90">
    <cfRule type="cellIs" dxfId="413" priority="15" operator="lessThan">
      <formula>0.0000001</formula>
    </cfRule>
  </conditionalFormatting>
  <conditionalFormatting sqref="W86:W90">
    <cfRule type="cellIs" dxfId="412" priority="14" operator="lessThan">
      <formula>0.0000001</formula>
    </cfRule>
  </conditionalFormatting>
  <conditionalFormatting sqref="W86:W90">
    <cfRule type="cellIs" dxfId="411" priority="13" operator="lessThan">
      <formula>0.0000001</formula>
    </cfRule>
  </conditionalFormatting>
  <conditionalFormatting sqref="W86:W90">
    <cfRule type="cellIs" dxfId="410" priority="12" operator="lessThan">
      <formula>0.0000001</formula>
    </cfRule>
  </conditionalFormatting>
  <conditionalFormatting sqref="W93:W97">
    <cfRule type="cellIs" dxfId="409" priority="11" operator="lessThan">
      <formula>0.0000001</formula>
    </cfRule>
  </conditionalFormatting>
  <conditionalFormatting sqref="W93:W97">
    <cfRule type="cellIs" dxfId="408" priority="10" operator="lessThan">
      <formula>0.0000001</formula>
    </cfRule>
  </conditionalFormatting>
  <conditionalFormatting sqref="W93:W97">
    <cfRule type="cellIs" dxfId="407" priority="9" operator="lessThan">
      <formula>0.0000001</formula>
    </cfRule>
  </conditionalFormatting>
  <conditionalFormatting sqref="W93:W97">
    <cfRule type="cellIs" dxfId="406" priority="8" operator="lessThan">
      <formula>0.0000001</formula>
    </cfRule>
  </conditionalFormatting>
  <conditionalFormatting sqref="W93:W97">
    <cfRule type="cellIs" dxfId="405" priority="7" operator="lessThan">
      <formula>0.0000001</formula>
    </cfRule>
  </conditionalFormatting>
  <conditionalFormatting sqref="W93:W97">
    <cfRule type="cellIs" dxfId="404" priority="6" operator="lessThan">
      <formula>0.0000001</formula>
    </cfRule>
  </conditionalFormatting>
  <conditionalFormatting sqref="M44">
    <cfRule type="cellIs" dxfId="403" priority="5" operator="lessThan">
      <formula>0.0000001</formula>
    </cfRule>
  </conditionalFormatting>
  <conditionalFormatting sqref="N12:N15">
    <cfRule type="cellIs" dxfId="402" priority="3" operator="lessThan">
      <formula>0.0000001</formula>
    </cfRule>
  </conditionalFormatting>
  <conditionalFormatting sqref="I41:I42">
    <cfRule type="cellIs" dxfId="401" priority="2" operator="equal">
      <formula>0.0000001</formula>
    </cfRule>
  </conditionalFormatting>
  <conditionalFormatting sqref="I27">
    <cfRule type="cellIs" dxfId="400" priority="1" operator="equal">
      <formula>0.0000001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5279DCD8-7401-47A5-A4A5-EA4ECD68DD5D}">
          <x14:formula1>
            <xm:f>MateriaalDatabank!$B$100:$B$245</xm:f>
          </x14:formula1>
          <xm:sqref>F11:G11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CC08D-3269-4A9D-8073-179E40FC3660}">
  <sheetPr>
    <tabColor rgb="FFFFC000"/>
  </sheetPr>
  <dimension ref="A1:AP104"/>
  <sheetViews>
    <sheetView showGridLines="0" showRowColHeaders="0" zoomScale="55" zoomScaleNormal="55" workbookViewId="0">
      <selection activeCell="L5" sqref="L5"/>
    </sheetView>
  </sheetViews>
  <sheetFormatPr defaultColWidth="11.42578125" defaultRowHeight="15" x14ac:dyDescent="0.25"/>
  <cols>
    <col min="1" max="1" width="5.42578125" style="1" customWidth="1"/>
    <col min="2" max="2" width="28.42578125" style="1" customWidth="1"/>
    <col min="3" max="3" width="17.7109375" style="1" customWidth="1"/>
    <col min="4" max="4" width="3.7109375" style="1" customWidth="1"/>
    <col min="5" max="6" width="5.140625" style="1" customWidth="1"/>
    <col min="7" max="7" width="1.42578125" style="1" customWidth="1"/>
    <col min="8" max="8" width="5.85546875" style="1" customWidth="1"/>
    <col min="9" max="9" width="24.140625" style="1" customWidth="1"/>
    <col min="10" max="12" width="14.140625" style="1" customWidth="1"/>
    <col min="13" max="14" width="14.7109375" style="1" customWidth="1"/>
    <col min="15" max="19" width="14.7109375" style="1" hidden="1" customWidth="1"/>
    <col min="20" max="20" width="18.7109375" style="1" customWidth="1"/>
    <col min="21" max="22" width="18.7109375" style="1" hidden="1" customWidth="1"/>
    <col min="23" max="23" width="18.7109375" style="1" customWidth="1"/>
    <col min="24" max="27" width="14.7109375" style="1" customWidth="1"/>
    <col min="28" max="28" width="11" style="1" customWidth="1"/>
    <col min="29" max="29" width="1.42578125" style="1" customWidth="1"/>
    <col min="30" max="30" width="12.85546875" style="1" customWidth="1"/>
    <col min="31" max="32" width="7.7109375" style="1" customWidth="1"/>
    <col min="33" max="37" width="4.7109375" style="1" customWidth="1"/>
    <col min="38" max="38" width="11.85546875" style="1" customWidth="1"/>
    <col min="39" max="16384" width="11.42578125" style="1"/>
  </cols>
  <sheetData>
    <row r="1" spans="1:42" ht="37.5" x14ac:dyDescent="0.7">
      <c r="A1" s="78" t="s">
        <v>193</v>
      </c>
      <c r="B1" s="78"/>
      <c r="C1" s="80"/>
      <c r="D1" s="4"/>
      <c r="E1" s="4"/>
      <c r="F1" s="4"/>
      <c r="G1" s="4"/>
      <c r="H1" s="4" t="s">
        <v>165</v>
      </c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42" s="14" customFormat="1" ht="36.6" customHeight="1" x14ac:dyDescent="0.7">
      <c r="A2" s="78" t="s">
        <v>192</v>
      </c>
      <c r="B2" s="92"/>
      <c r="C2" s="80"/>
      <c r="D2" s="4"/>
      <c r="E2" s="4"/>
      <c r="F2" s="4"/>
      <c r="G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F2" s="131"/>
      <c r="AG2" s="14" t="s">
        <v>111</v>
      </c>
    </row>
    <row r="3" spans="1:42" x14ac:dyDescent="0.25">
      <c r="C3" s="81"/>
      <c r="D3" s="23"/>
      <c r="E3" s="23"/>
      <c r="F3" s="23"/>
      <c r="G3" s="23"/>
      <c r="H3" s="18"/>
      <c r="I3" s="18"/>
      <c r="J3" s="18"/>
      <c r="K3" s="18"/>
      <c r="L3" s="30" t="s">
        <v>99</v>
      </c>
      <c r="M3" s="30"/>
      <c r="N3" s="30" t="s">
        <v>105</v>
      </c>
      <c r="O3" s="30"/>
      <c r="P3" s="30"/>
      <c r="Q3" s="30"/>
      <c r="R3" s="30"/>
      <c r="S3" s="30"/>
      <c r="T3" s="30" t="s">
        <v>113</v>
      </c>
      <c r="U3" s="30"/>
      <c r="V3" s="30"/>
      <c r="W3" s="30"/>
      <c r="X3" s="30"/>
      <c r="Y3" s="30"/>
      <c r="Z3" s="30" t="s">
        <v>100</v>
      </c>
      <c r="AA3" s="30" t="s">
        <v>101</v>
      </c>
      <c r="AB3" s="30" t="s">
        <v>93</v>
      </c>
      <c r="AC3" s="15"/>
      <c r="AD3" s="23"/>
    </row>
    <row r="4" spans="1:42" x14ac:dyDescent="0.25">
      <c r="C4" s="81"/>
      <c r="D4" s="23"/>
      <c r="E4" s="23"/>
      <c r="F4" s="23"/>
      <c r="G4" s="23"/>
      <c r="H4" s="18"/>
      <c r="I4" s="18"/>
      <c r="J4" s="18"/>
      <c r="K4" s="18"/>
      <c r="L4" s="30" t="s">
        <v>84</v>
      </c>
      <c r="M4" s="30"/>
      <c r="N4" s="30" t="s">
        <v>84</v>
      </c>
      <c r="O4" s="30"/>
      <c r="P4" s="30"/>
      <c r="Q4" s="30"/>
      <c r="R4" s="30"/>
      <c r="S4" s="30"/>
      <c r="T4" s="30" t="s">
        <v>112</v>
      </c>
      <c r="U4" s="30"/>
      <c r="V4" s="30"/>
      <c r="W4" s="30"/>
      <c r="X4" s="30"/>
      <c r="Y4" s="30"/>
      <c r="Z4" s="30" t="s">
        <v>102</v>
      </c>
      <c r="AA4" s="30" t="s">
        <v>104</v>
      </c>
      <c r="AB4" s="30" t="s">
        <v>103</v>
      </c>
      <c r="AC4" s="15"/>
      <c r="AD4" s="23"/>
    </row>
    <row r="5" spans="1:42" ht="18.75" x14ac:dyDescent="0.3">
      <c r="C5" s="82"/>
      <c r="D5" s="24"/>
      <c r="E5" s="24"/>
      <c r="F5" s="24"/>
      <c r="G5" s="24"/>
      <c r="H5" s="152" t="s">
        <v>89</v>
      </c>
      <c r="I5" s="152"/>
      <c r="J5" s="19"/>
      <c r="K5" s="20"/>
      <c r="L5" s="125">
        <v>1E-3</v>
      </c>
      <c r="M5" s="75" t="str">
        <f>IF(AB5&gt;180,"BENG1 basiseis","BENG1-eis licht")</f>
        <v>BENG1-eis licht</v>
      </c>
      <c r="N5" s="93">
        <f>N16+N23+N31+N38+N46+N53+N61+N68+N76+N83+N91+N98+0.000000001</f>
        <v>1.0000000000000001E-9</v>
      </c>
      <c r="O5" s="16"/>
      <c r="P5" s="16"/>
      <c r="Q5" s="16"/>
      <c r="R5" s="16"/>
      <c r="S5" s="16"/>
      <c r="T5" s="31">
        <f>1000*Z5/(L5*2400*840)</f>
        <v>0</v>
      </c>
      <c r="U5" s="31"/>
      <c r="V5" s="31"/>
      <c r="W5" s="31"/>
      <c r="X5" s="16"/>
      <c r="Y5" s="16"/>
      <c r="Z5" s="72">
        <f>Z16+Z23+Z31+Z38+Z46+Z53+Z61+Z68+Z76+Z83+Z91+Z98</f>
        <v>0</v>
      </c>
      <c r="AA5" s="17">
        <f>Z5/N5</f>
        <v>0</v>
      </c>
      <c r="AB5" s="72">
        <f>Z5/L5</f>
        <v>0</v>
      </c>
      <c r="AC5" s="16"/>
      <c r="AD5" s="24"/>
    </row>
    <row r="6" spans="1:42" ht="10.5" customHeight="1" x14ac:dyDescent="0.25">
      <c r="D6" s="21"/>
      <c r="E6" s="21"/>
      <c r="F6" s="21"/>
      <c r="G6" s="21"/>
      <c r="H6" s="21"/>
      <c r="I6" s="21"/>
      <c r="J6" s="21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1"/>
      <c r="AC6" s="21"/>
      <c r="AD6" s="21"/>
    </row>
    <row r="7" spans="1:42" ht="7.5" customHeight="1" x14ac:dyDescent="0.25">
      <c r="D7" s="21"/>
      <c r="E7" s="21"/>
      <c r="F7" s="21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4"/>
      <c r="AC7" s="60"/>
      <c r="AD7" s="21"/>
    </row>
    <row r="8" spans="1:42" ht="63" x14ac:dyDescent="0.25">
      <c r="A8" s="79" t="s">
        <v>157</v>
      </c>
      <c r="B8" s="73"/>
      <c r="D8" s="21"/>
      <c r="E8" s="21"/>
      <c r="F8" s="21"/>
      <c r="H8" s="6"/>
      <c r="I8" s="65" t="s">
        <v>158</v>
      </c>
      <c r="J8" s="32" t="s">
        <v>85</v>
      </c>
      <c r="K8" s="33" t="s">
        <v>86</v>
      </c>
      <c r="L8" s="33" t="s">
        <v>98</v>
      </c>
      <c r="M8" s="33" t="s">
        <v>140</v>
      </c>
      <c r="N8" s="33" t="s">
        <v>87</v>
      </c>
      <c r="O8" s="34" t="s">
        <v>92</v>
      </c>
      <c r="P8" s="34" t="s">
        <v>88</v>
      </c>
      <c r="Q8" s="34" t="s">
        <v>0</v>
      </c>
      <c r="R8" s="34" t="s">
        <v>90</v>
      </c>
      <c r="S8" s="34" t="s">
        <v>91</v>
      </c>
      <c r="T8" s="39" t="s">
        <v>201</v>
      </c>
      <c r="U8" s="39" t="s">
        <v>137</v>
      </c>
      <c r="V8" s="39" t="s">
        <v>191</v>
      </c>
      <c r="W8" s="39" t="s">
        <v>167</v>
      </c>
      <c r="X8" s="39" t="s">
        <v>200</v>
      </c>
      <c r="Y8" s="35" t="s">
        <v>141</v>
      </c>
      <c r="Z8" s="33" t="s">
        <v>108</v>
      </c>
      <c r="AA8" s="33" t="s">
        <v>110</v>
      </c>
      <c r="AB8" s="33" t="s">
        <v>109</v>
      </c>
      <c r="AC8" s="60"/>
      <c r="AD8" s="21"/>
    </row>
    <row r="9" spans="1:42" ht="16.5" thickBot="1" x14ac:dyDescent="0.3">
      <c r="A9" s="76" t="s">
        <v>163</v>
      </c>
      <c r="B9" s="77" t="s">
        <v>164</v>
      </c>
      <c r="D9" s="21"/>
      <c r="E9" s="21"/>
      <c r="F9" s="21"/>
      <c r="H9" s="6"/>
      <c r="I9" s="6"/>
      <c r="J9" s="8"/>
      <c r="K9" s="7"/>
      <c r="L9" s="7"/>
      <c r="M9" s="7"/>
      <c r="N9" s="7"/>
      <c r="O9" s="34"/>
      <c r="P9" s="34"/>
      <c r="Q9" s="34"/>
      <c r="R9" s="34"/>
      <c r="S9" s="34"/>
      <c r="T9" s="39"/>
      <c r="U9" s="39"/>
      <c r="V9" s="39"/>
      <c r="W9" s="39"/>
      <c r="X9" s="39"/>
      <c r="Y9" s="35"/>
      <c r="Z9" s="33"/>
      <c r="AA9" s="33"/>
      <c r="AB9" s="33"/>
      <c r="AC9" s="60"/>
      <c r="AD9" s="21"/>
    </row>
    <row r="10" spans="1:42" ht="14.45" customHeight="1" thickBot="1" x14ac:dyDescent="0.3">
      <c r="A10" s="73" t="s">
        <v>143</v>
      </c>
      <c r="B10" s="73"/>
      <c r="D10" s="21"/>
      <c r="E10" s="153" t="s">
        <v>139</v>
      </c>
      <c r="F10" s="21"/>
      <c r="H10" s="67" t="s">
        <v>142</v>
      </c>
      <c r="I10" s="150" t="s">
        <v>197</v>
      </c>
      <c r="J10" s="51"/>
      <c r="K10" s="51"/>
      <c r="L10" s="51"/>
      <c r="M10" s="51"/>
      <c r="N10" s="51"/>
      <c r="O10" s="59"/>
      <c r="P10" s="59"/>
      <c r="Q10" s="59"/>
      <c r="R10" s="132">
        <v>1</v>
      </c>
      <c r="S10" s="133"/>
      <c r="T10" s="59"/>
      <c r="U10" s="59"/>
      <c r="V10" s="59"/>
      <c r="W10" s="59"/>
      <c r="X10" s="59"/>
      <c r="Y10" s="134" t="str">
        <f>I10</f>
        <v>naam constructie 1</v>
      </c>
      <c r="Z10" s="72">
        <f>Z16+Z23</f>
        <v>0</v>
      </c>
      <c r="AA10" s="72">
        <f>AA16+AA23</f>
        <v>0</v>
      </c>
      <c r="AB10" s="72">
        <f>AB16+AB23</f>
        <v>0</v>
      </c>
      <c r="AC10" s="60"/>
      <c r="AD10" s="21"/>
    </row>
    <row r="11" spans="1:42" x14ac:dyDescent="0.25">
      <c r="A11" s="1">
        <v>100</v>
      </c>
      <c r="B11" s="1" t="s">
        <v>7</v>
      </c>
      <c r="D11" s="21"/>
      <c r="E11" s="153"/>
      <c r="F11" s="21"/>
      <c r="H11" s="126"/>
      <c r="I11" s="135" cm="1">
        <f t="array" ref="I11">_xlfn.XLOOKUP(H11,MateriaalDatabank!$A$1:A300,MateriaalDatabank!$B$1:B300,0.0000001)</f>
        <v>0</v>
      </c>
      <c r="J11" s="135" cm="1">
        <f t="array" ref="J11">_xlfn.XLOOKUP(I11,MateriaalDatabank!$B$1:B300,MateriaalDatabank!$C$1:C300,0.0000001)</f>
        <v>9.9999999999999995E-8</v>
      </c>
      <c r="K11" s="135" cm="1">
        <f t="array" ref="K11">_xlfn.XLOOKUP(I11,MateriaalDatabank!$B$1:B300,MateriaalDatabank!$D$1:D300,0.0000001)</f>
        <v>9.9999999999999995E-8</v>
      </c>
      <c r="L11" s="135" cm="1">
        <f t="array" ref="L11">_xlfn.XLOOKUP(I11,MateriaalDatabank!$B$1:B300,MateriaalDatabank!$E$1:E300,0.0000001)</f>
        <v>9.9999999999999995E-8</v>
      </c>
      <c r="M11" s="69"/>
      <c r="N11" s="71"/>
      <c r="O11" s="36">
        <f>Q11</f>
        <v>0</v>
      </c>
      <c r="P11" s="36">
        <f>IF(S11&gt;0,S11*M11,0)</f>
        <v>0</v>
      </c>
      <c r="Q11" s="36">
        <f>IF(M11&gt;0,M11/J11,0)</f>
        <v>0</v>
      </c>
      <c r="R11" s="37">
        <f>IF(O11&gt;0.25,0,1)</f>
        <v>1</v>
      </c>
      <c r="S11" s="38">
        <f>IF((R11+R10)=1,((0.25-O10)*J11)/M11,R11)</f>
        <v>1</v>
      </c>
      <c r="T11" s="40">
        <f>IF(S11*M11&gt;0.1,0.1,S11*M11)</f>
        <v>0</v>
      </c>
      <c r="U11" s="40">
        <f>M11/M16</f>
        <v>0</v>
      </c>
      <c r="V11" s="41">
        <f>IF(U11&lt;(0.5),1,0)</f>
        <v>1</v>
      </c>
      <c r="W11" s="41">
        <f>IF(V11+V10=0,0.5*M16,M11*V11)</f>
        <v>0</v>
      </c>
      <c r="X11" s="40">
        <f>IF(J11&gt;0,T11/J11,0)</f>
        <v>0</v>
      </c>
      <c r="Y11" s="40">
        <f>MIN(W11,T11)</f>
        <v>0</v>
      </c>
      <c r="Z11" s="44">
        <f>N11*K11*L11*T11/1000</f>
        <v>0</v>
      </c>
      <c r="AA11" s="44">
        <f>IF(N11&gt;0,Z11/N11,0)</f>
        <v>0</v>
      </c>
      <c r="AB11" s="45"/>
      <c r="AC11" s="60"/>
      <c r="AD11" s="21"/>
      <c r="AK11" s="12"/>
      <c r="AL11" s="12"/>
      <c r="AN11" s="13"/>
      <c r="AO11" s="13"/>
      <c r="AP11" s="13"/>
    </row>
    <row r="12" spans="1:42" x14ac:dyDescent="0.25">
      <c r="A12" s="1">
        <v>101</v>
      </c>
      <c r="B12" s="1" t="s">
        <v>8</v>
      </c>
      <c r="D12" s="21"/>
      <c r="E12" s="153"/>
      <c r="F12" s="21"/>
      <c r="H12" s="126"/>
      <c r="I12" s="135" cm="1">
        <f t="array" ref="I12">_xlfn.XLOOKUP(H12,MateriaalDatabank!$A$1:A301,MateriaalDatabank!$B$1:B301,0.0000001)</f>
        <v>0</v>
      </c>
      <c r="J12" s="135" cm="1">
        <f t="array" ref="J12">_xlfn.XLOOKUP(I12,MateriaalDatabank!$B$1:B301,MateriaalDatabank!$C$1:C301,0.0000001)</f>
        <v>9.9999999999999995E-8</v>
      </c>
      <c r="K12" s="135" cm="1">
        <f t="array" ref="K12">_xlfn.XLOOKUP(I12,MateriaalDatabank!$B$1:B301,MateriaalDatabank!$D$1:D301,0.0000001)</f>
        <v>9.9999999999999995E-8</v>
      </c>
      <c r="L12" s="135" cm="1">
        <f t="array" ref="L12">_xlfn.XLOOKUP(I12,MateriaalDatabank!$B$1:B301,MateriaalDatabank!$E$1:E301,0.0000001)</f>
        <v>9.9999999999999995E-8</v>
      </c>
      <c r="M12" s="69"/>
      <c r="N12" s="136">
        <f>N11</f>
        <v>0</v>
      </c>
      <c r="O12" s="3">
        <f>O11+Q12</f>
        <v>0</v>
      </c>
      <c r="P12" s="3">
        <f t="shared" ref="P12:P15" si="0">IF(S12&gt;0,S12*M12,0)</f>
        <v>0</v>
      </c>
      <c r="Q12" s="3">
        <f>IF(M12&gt;0,M12/J12,0)</f>
        <v>0</v>
      </c>
      <c r="R12" s="10">
        <f>IF(O12&gt;0.25,0,1)</f>
        <v>1</v>
      </c>
      <c r="S12" s="11">
        <f t="shared" ref="S12:S15" si="1">IF((R12+R11)=1,((0.25-O11)*J12)/M12,R12)</f>
        <v>1</v>
      </c>
      <c r="T12" s="42">
        <f>IF(S12*M12&gt;0.1-T11,0.1-T11,S12*M12)</f>
        <v>0</v>
      </c>
      <c r="U12" s="42">
        <f>(M11+M12)/M16</f>
        <v>0</v>
      </c>
      <c r="V12" s="43">
        <f>IF(U12&lt;(0.5),1,0)</f>
        <v>1</v>
      </c>
      <c r="W12" s="43">
        <f>IF(V12+V11=1,0.5*M16-M11,M12*V12)</f>
        <v>0</v>
      </c>
      <c r="X12" s="42">
        <f t="shared" ref="X12:X15" si="2">IF(J12&gt;0,T12/J12,0)</f>
        <v>0</v>
      </c>
      <c r="Y12" s="42">
        <f>MIN(W12,T12)</f>
        <v>0</v>
      </c>
      <c r="Z12" s="46">
        <f>N12*K12*L12*T12/1000</f>
        <v>0</v>
      </c>
      <c r="AA12" s="46">
        <f t="shared" ref="AA12:AA15" si="3">IF(N12&gt;0,Z12/N12,0)</f>
        <v>0</v>
      </c>
      <c r="AB12" s="47"/>
      <c r="AC12" s="60"/>
      <c r="AD12" s="21"/>
      <c r="AK12" s="12"/>
      <c r="AL12" s="12"/>
      <c r="AN12" s="13"/>
      <c r="AO12" s="13"/>
      <c r="AP12" s="13"/>
    </row>
    <row r="13" spans="1:42" x14ac:dyDescent="0.25">
      <c r="A13" s="1">
        <v>102</v>
      </c>
      <c r="B13" s="1" t="s">
        <v>9</v>
      </c>
      <c r="D13" s="21"/>
      <c r="E13" s="153"/>
      <c r="F13" s="21"/>
      <c r="H13" s="126"/>
      <c r="I13" s="135" cm="1">
        <f t="array" ref="I13">_xlfn.XLOOKUP(H13,MateriaalDatabank!$A$1:A302,MateriaalDatabank!$B$1:B302,0.0000001)</f>
        <v>0</v>
      </c>
      <c r="J13" s="135" cm="1">
        <f t="array" ref="J13">_xlfn.XLOOKUP(I13,MateriaalDatabank!$B$1:B302,MateriaalDatabank!$C$1:C302,0.0000001)</f>
        <v>9.9999999999999995E-8</v>
      </c>
      <c r="K13" s="135" cm="1">
        <f t="array" ref="K13">_xlfn.XLOOKUP(I13,MateriaalDatabank!$B$1:B302,MateriaalDatabank!$D$1:D302,0.0000001)</f>
        <v>9.9999999999999995E-8</v>
      </c>
      <c r="L13" s="135" cm="1">
        <f t="array" ref="L13">_xlfn.XLOOKUP(I13,MateriaalDatabank!$B$1:B302,MateriaalDatabank!$E$1:E302,0.0000001)</f>
        <v>9.9999999999999995E-8</v>
      </c>
      <c r="M13" s="70"/>
      <c r="N13" s="136">
        <f>N12</f>
        <v>0</v>
      </c>
      <c r="O13" s="3">
        <f>O12+Q13</f>
        <v>0</v>
      </c>
      <c r="P13" s="3">
        <f t="shared" si="0"/>
        <v>0</v>
      </c>
      <c r="Q13" s="3">
        <f t="shared" ref="Q13:Q15" si="4">IF(M13&gt;0,M13/J13,0)</f>
        <v>0</v>
      </c>
      <c r="R13" s="10">
        <f>IF(O13&gt;0.25,0,1)</f>
        <v>1</v>
      </c>
      <c r="S13" s="11">
        <f t="shared" si="1"/>
        <v>1</v>
      </c>
      <c r="T13" s="42">
        <f>IF(S13*M13&gt;0.1-T12-T11,0.1-T12-T11,S13*M13)</f>
        <v>0</v>
      </c>
      <c r="U13" s="42">
        <f>(M11+M12+M13)/M16</f>
        <v>0</v>
      </c>
      <c r="V13" s="43">
        <f>IF(U13&lt;(0.5),1,0)</f>
        <v>1</v>
      </c>
      <c r="W13" s="43">
        <f>IF(V13+V12=1,0.5*M16-M12-M11,M13*V13)</f>
        <v>0</v>
      </c>
      <c r="X13" s="42">
        <f t="shared" si="2"/>
        <v>0</v>
      </c>
      <c r="Y13" s="42">
        <f t="shared" ref="Y13:Y15" si="5">MIN(W13,T13)</f>
        <v>0</v>
      </c>
      <c r="Z13" s="46">
        <f>N13*K13*L13*T13/1000</f>
        <v>0</v>
      </c>
      <c r="AA13" s="46">
        <f t="shared" si="3"/>
        <v>0</v>
      </c>
      <c r="AB13" s="47"/>
      <c r="AC13" s="60"/>
      <c r="AD13" s="21"/>
      <c r="AK13" s="12"/>
      <c r="AL13" s="12"/>
      <c r="AN13" s="13"/>
      <c r="AO13" s="13"/>
      <c r="AP13" s="13"/>
    </row>
    <row r="14" spans="1:42" x14ac:dyDescent="0.25">
      <c r="D14" s="21"/>
      <c r="E14" s="153"/>
      <c r="F14" s="21"/>
      <c r="H14" s="126"/>
      <c r="I14" s="135" cm="1">
        <f t="array" ref="I14">_xlfn.XLOOKUP(H14,MateriaalDatabank!$A$1:A303,MateriaalDatabank!$B$1:B303,0.0000001)</f>
        <v>0</v>
      </c>
      <c r="J14" s="135" cm="1">
        <f t="array" ref="J14">_xlfn.XLOOKUP(I14,MateriaalDatabank!$B$1:B303,MateriaalDatabank!$C$1:C303,0.0000001)</f>
        <v>9.9999999999999995E-8</v>
      </c>
      <c r="K14" s="135" cm="1">
        <f t="array" ref="K14">_xlfn.XLOOKUP(I14,MateriaalDatabank!$B$1:B303,MateriaalDatabank!$D$1:D303,0.0000001)</f>
        <v>9.9999999999999995E-8</v>
      </c>
      <c r="L14" s="135" cm="1">
        <f t="array" ref="L14">_xlfn.XLOOKUP(I14,MateriaalDatabank!$B$1:B303,MateriaalDatabank!$E$1:E303,0.0000001)</f>
        <v>9.9999999999999995E-8</v>
      </c>
      <c r="M14" s="70"/>
      <c r="N14" s="136">
        <f t="shared" ref="N14:N15" si="6">N13</f>
        <v>0</v>
      </c>
      <c r="O14" s="3">
        <f>O13+Q14</f>
        <v>0</v>
      </c>
      <c r="P14" s="3">
        <f t="shared" si="0"/>
        <v>0</v>
      </c>
      <c r="Q14" s="3">
        <f t="shared" si="4"/>
        <v>0</v>
      </c>
      <c r="R14" s="10">
        <f>IF(O14&gt;0.25,0,1)</f>
        <v>1</v>
      </c>
      <c r="S14" s="11">
        <f t="shared" si="1"/>
        <v>1</v>
      </c>
      <c r="T14" s="42">
        <f>IF(S14*M14&gt;0.1-T13-T12-T11,0.1-T13-T12-T11,S14*M14)</f>
        <v>0</v>
      </c>
      <c r="U14" s="42">
        <f>(M11+M12+M13+M14)/M16</f>
        <v>0</v>
      </c>
      <c r="V14" s="43">
        <f>IF(U14&lt;(0.5),1,0)</f>
        <v>1</v>
      </c>
      <c r="W14" s="43">
        <f>IF(V14+V13=1,0.5*M16-M13-M12-M11,M14*V14)</f>
        <v>0</v>
      </c>
      <c r="X14" s="42">
        <f t="shared" si="2"/>
        <v>0</v>
      </c>
      <c r="Y14" s="42">
        <f t="shared" si="5"/>
        <v>0</v>
      </c>
      <c r="Z14" s="46">
        <f>N14*K14*L14*T14/1000</f>
        <v>0</v>
      </c>
      <c r="AA14" s="46">
        <f t="shared" si="3"/>
        <v>0</v>
      </c>
      <c r="AB14" s="47"/>
      <c r="AC14" s="60"/>
      <c r="AD14" s="21"/>
      <c r="AK14" s="12"/>
      <c r="AL14" s="12"/>
      <c r="AN14" s="13"/>
      <c r="AO14" s="13"/>
      <c r="AP14" s="13"/>
    </row>
    <row r="15" spans="1:42" ht="14.45" customHeight="1" x14ac:dyDescent="0.25">
      <c r="A15" s="73" t="s">
        <v>144</v>
      </c>
      <c r="B15" s="73"/>
      <c r="D15" s="21"/>
      <c r="E15" s="153"/>
      <c r="F15" s="21"/>
      <c r="H15" s="126"/>
      <c r="I15" s="135" cm="1">
        <f t="array" ref="I15">_xlfn.XLOOKUP(H15,MateriaalDatabank!$A$1:A304,MateriaalDatabank!$B$1:B304,0.0000001)</f>
        <v>0</v>
      </c>
      <c r="J15" s="135" cm="1">
        <f t="array" ref="J15">_xlfn.XLOOKUP(I15,MateriaalDatabank!$B$1:B304,MateriaalDatabank!$C$1:C304,0.0000001)</f>
        <v>9.9999999999999995E-8</v>
      </c>
      <c r="K15" s="135" cm="1">
        <f t="array" ref="K15">_xlfn.XLOOKUP(I15,MateriaalDatabank!$B$1:B304,MateriaalDatabank!$D$1:D304,0.0000001)</f>
        <v>9.9999999999999995E-8</v>
      </c>
      <c r="L15" s="135" cm="1">
        <f t="array" ref="L15">_xlfn.XLOOKUP(I15,MateriaalDatabank!$B$1:B304,MateriaalDatabank!$E$1:E304,0.0000001)</f>
        <v>9.9999999999999995E-8</v>
      </c>
      <c r="M15" s="69"/>
      <c r="N15" s="136">
        <f t="shared" si="6"/>
        <v>0</v>
      </c>
      <c r="O15" s="3">
        <f>O14+Q15</f>
        <v>0</v>
      </c>
      <c r="P15" s="3">
        <f t="shared" si="0"/>
        <v>0</v>
      </c>
      <c r="Q15" s="3">
        <f t="shared" si="4"/>
        <v>0</v>
      </c>
      <c r="R15" s="10">
        <f>IF(O15&gt;0.25,0,1)</f>
        <v>1</v>
      </c>
      <c r="S15" s="11">
        <f t="shared" si="1"/>
        <v>1</v>
      </c>
      <c r="T15" s="42">
        <f>IF(S15*M15&gt;0.1-T14-T13-T12-T11,0.1-T14-T13-T12-T11,S15*M15)</f>
        <v>0</v>
      </c>
      <c r="U15" s="42">
        <f>(M11+M12+M13+M14+M15)/M16</f>
        <v>0</v>
      </c>
      <c r="V15" s="43">
        <f>IF(U15&lt;(0.5),1,0)</f>
        <v>1</v>
      </c>
      <c r="W15" s="43">
        <f>IF(V15+V14=1,0.5*M16-M14-M13-M12-M11,M15*V15)</f>
        <v>0</v>
      </c>
      <c r="X15" s="42">
        <f t="shared" si="2"/>
        <v>0</v>
      </c>
      <c r="Y15" s="42">
        <f t="shared" si="5"/>
        <v>0</v>
      </c>
      <c r="Z15" s="46">
        <f>N15*K15*L15*T15/1000</f>
        <v>0</v>
      </c>
      <c r="AA15" s="46">
        <f t="shared" si="3"/>
        <v>0</v>
      </c>
      <c r="AB15" s="47"/>
      <c r="AC15" s="60"/>
      <c r="AD15" s="21"/>
      <c r="AJ15" s="1" t="str">
        <f>L5&amp;" m2 Ag ;  Ci="&amp;ROUND(AB5,0)&amp;" kJ/m2Ag"</f>
        <v>0,001 m2 Ag ;  Ci=0 kJ/m2Ag</v>
      </c>
      <c r="AK15" s="1" t="s">
        <v>114</v>
      </c>
      <c r="AL15" s="12"/>
      <c r="AN15" s="13"/>
      <c r="AO15" s="13"/>
      <c r="AP15" s="13"/>
    </row>
    <row r="16" spans="1:42" x14ac:dyDescent="0.25">
      <c r="A16" s="1">
        <v>110</v>
      </c>
      <c r="B16" s="1" t="s">
        <v>81</v>
      </c>
      <c r="D16" s="21"/>
      <c r="E16" s="18"/>
      <c r="F16" s="21"/>
      <c r="H16" s="55"/>
      <c r="I16" s="55"/>
      <c r="J16" s="56"/>
      <c r="K16" s="57"/>
      <c r="L16" s="56"/>
      <c r="M16" s="137">
        <f>SUM(M11:M15)+0.00000000000000001</f>
        <v>1.0000000000000001E-17</v>
      </c>
      <c r="N16" s="49">
        <f>N11</f>
        <v>0</v>
      </c>
      <c r="O16" s="57"/>
      <c r="P16" s="137">
        <f>SUM(P11:P15)</f>
        <v>0</v>
      </c>
      <c r="Q16" s="137">
        <f>SUM(Q11:Q15)</f>
        <v>0</v>
      </c>
      <c r="R16" s="57"/>
      <c r="S16" s="57"/>
      <c r="T16" s="137">
        <f>SUM(T11:T15)</f>
        <v>0</v>
      </c>
      <c r="U16" s="137"/>
      <c r="V16" s="138">
        <f>W16/M16</f>
        <v>0</v>
      </c>
      <c r="W16" s="137">
        <f>SUM(W11:W15)</f>
        <v>0</v>
      </c>
      <c r="X16" s="137">
        <f>SUM(X11:X15)</f>
        <v>0</v>
      </c>
      <c r="Y16" s="137"/>
      <c r="Z16" s="58">
        <f>SUM(Z11:Z15)</f>
        <v>0</v>
      </c>
      <c r="AA16" s="58">
        <f>IF(N16&gt;0,Z16/N16,0)</f>
        <v>0</v>
      </c>
      <c r="AB16" s="58">
        <f>Z16/$L$5</f>
        <v>0</v>
      </c>
      <c r="AC16" s="60"/>
      <c r="AD16" s="21"/>
      <c r="AG16" s="1">
        <v>1</v>
      </c>
      <c r="AH16" s="1" t="str">
        <f>I10</f>
        <v>naam constructie 1</v>
      </c>
      <c r="AI16" s="1" t="str">
        <f t="shared" ref="AI16:AI28" si="7">IF(AH16="constructienaam","",AH16)</f>
        <v>naam constructie 1</v>
      </c>
      <c r="AJ16" s="13">
        <f>AB16</f>
        <v>0</v>
      </c>
    </row>
    <row r="17" spans="1:37" ht="14.45" customHeight="1" x14ac:dyDescent="0.25">
      <c r="A17" s="1">
        <v>111</v>
      </c>
      <c r="B17" s="1" t="s">
        <v>12</v>
      </c>
      <c r="D17" s="21"/>
      <c r="E17" s="153" t="s">
        <v>138</v>
      </c>
      <c r="F17" s="83" t="s">
        <v>163</v>
      </c>
      <c r="H17" s="127">
        <v>0</v>
      </c>
      <c r="I17" s="52" t="str">
        <f>I10 &amp; " &lt;-- onderzijde (gespiegelde weergave)"</f>
        <v>naam constructie 1 &lt;-- onderzijde (gespiegelde weergave)</v>
      </c>
      <c r="J17" s="53"/>
      <c r="K17" s="53"/>
      <c r="L17" s="53"/>
      <c r="M17" s="53"/>
      <c r="N17" s="54"/>
      <c r="O17" s="2"/>
      <c r="P17" s="2"/>
      <c r="Q17" s="2"/>
      <c r="R17" s="139">
        <v>1</v>
      </c>
      <c r="S17" s="10"/>
      <c r="T17" s="42"/>
      <c r="U17" s="42"/>
      <c r="V17" s="43"/>
      <c r="W17" s="43"/>
      <c r="X17" s="42"/>
      <c r="Y17" s="42"/>
      <c r="Z17" s="48"/>
      <c r="AA17" s="48"/>
      <c r="AB17" s="48"/>
      <c r="AC17" s="60"/>
      <c r="AD17" s="21"/>
      <c r="AG17" s="1">
        <v>2</v>
      </c>
      <c r="AH17" s="1" t="str">
        <f>I17</f>
        <v>naam constructie 1 &lt;-- onderzijde (gespiegelde weergave)</v>
      </c>
      <c r="AI17" s="1" t="str">
        <f t="shared" si="7"/>
        <v>naam constructie 1 &lt;-- onderzijde (gespiegelde weergave)</v>
      </c>
      <c r="AJ17" s="13">
        <f>AB23</f>
        <v>0</v>
      </c>
    </row>
    <row r="18" spans="1:37" x14ac:dyDescent="0.25">
      <c r="A18" s="1">
        <v>112</v>
      </c>
      <c r="B18" s="1" t="s">
        <v>13</v>
      </c>
      <c r="D18" s="21"/>
      <c r="E18" s="153"/>
      <c r="F18" s="21"/>
      <c r="H18" s="53"/>
      <c r="I18" s="140">
        <f>I15</f>
        <v>0</v>
      </c>
      <c r="J18" s="141">
        <f t="shared" ref="J18:M18" si="8">J15</f>
        <v>9.9999999999999995E-8</v>
      </c>
      <c r="K18" s="141">
        <f t="shared" si="8"/>
        <v>9.9999999999999995E-8</v>
      </c>
      <c r="L18" s="141">
        <f t="shared" si="8"/>
        <v>9.9999999999999995E-8</v>
      </c>
      <c r="M18" s="142">
        <f t="shared" si="8"/>
        <v>0</v>
      </c>
      <c r="N18" s="143">
        <f>N11*$H$17</f>
        <v>0</v>
      </c>
      <c r="O18" s="3">
        <f>Q18</f>
        <v>0</v>
      </c>
      <c r="P18" s="3">
        <f>IF(S18&gt;0,S18*M18,0)</f>
        <v>0</v>
      </c>
      <c r="Q18" s="3">
        <f>IF(M18&gt;0,M18/J18,0)</f>
        <v>0</v>
      </c>
      <c r="R18" s="10">
        <f>IF(O18&gt;0.25,0,1)</f>
        <v>1</v>
      </c>
      <c r="S18" s="11">
        <f>IF((R18+R17)=1,((0.25-O17)*J18)/M18,R18)</f>
        <v>1</v>
      </c>
      <c r="T18" s="42">
        <f>IF(S18*M18&gt;0.1,0.1,S18*M18)</f>
        <v>0</v>
      </c>
      <c r="U18" s="42">
        <f>M18/M23</f>
        <v>0</v>
      </c>
      <c r="V18" s="43">
        <f>IF(U18&lt;(0.5),1,0)</f>
        <v>1</v>
      </c>
      <c r="W18" s="41">
        <f>IF(V18+V17=0,0.5*M23,M18*V18)</f>
        <v>0</v>
      </c>
      <c r="X18" s="42">
        <f>IF(J18&gt;0,T18/J18,0)</f>
        <v>0</v>
      </c>
      <c r="Y18" s="42">
        <f>MIN(W18,T18)</f>
        <v>0</v>
      </c>
      <c r="Z18" s="46">
        <f>N18*K18*L18*T18/1000</f>
        <v>0</v>
      </c>
      <c r="AA18" s="46">
        <f>IF(N18&gt;0,Z18/N18,0)</f>
        <v>0</v>
      </c>
      <c r="AB18" s="47"/>
      <c r="AC18" s="60"/>
      <c r="AD18" s="21"/>
      <c r="AG18" s="1">
        <v>3</v>
      </c>
      <c r="AH18" s="1" t="str">
        <f>I25</f>
        <v>naam constructie 2</v>
      </c>
      <c r="AI18" s="1" t="str">
        <f t="shared" si="7"/>
        <v>naam constructie 2</v>
      </c>
      <c r="AJ18" s="13">
        <f>AB31</f>
        <v>0</v>
      </c>
      <c r="AK18" s="13"/>
    </row>
    <row r="19" spans="1:37" x14ac:dyDescent="0.25">
      <c r="A19" s="1">
        <v>113</v>
      </c>
      <c r="B19" s="1" t="s">
        <v>14</v>
      </c>
      <c r="D19" s="21"/>
      <c r="E19" s="153"/>
      <c r="F19" s="21"/>
      <c r="H19" s="144"/>
      <c r="I19" s="140">
        <f>I14</f>
        <v>0</v>
      </c>
      <c r="J19" s="141">
        <f t="shared" ref="J19:M19" si="9">J14</f>
        <v>9.9999999999999995E-8</v>
      </c>
      <c r="K19" s="141">
        <f t="shared" si="9"/>
        <v>9.9999999999999995E-8</v>
      </c>
      <c r="L19" s="141">
        <f t="shared" si="9"/>
        <v>9.9999999999999995E-8</v>
      </c>
      <c r="M19" s="142">
        <f t="shared" si="9"/>
        <v>0</v>
      </c>
      <c r="N19" s="143">
        <f t="shared" ref="N19:N22" si="10">N12*$H$17</f>
        <v>0</v>
      </c>
      <c r="O19" s="3">
        <f>O18+Q19</f>
        <v>0</v>
      </c>
      <c r="P19" s="3">
        <f t="shared" ref="P19:P22" si="11">IF(S19&gt;0,S19*M19,0)</f>
        <v>0</v>
      </c>
      <c r="Q19" s="3">
        <f>IF(M19&gt;0,M19/J19,0)</f>
        <v>0</v>
      </c>
      <c r="R19" s="10">
        <f>IF(O19&gt;0.25,0,1)</f>
        <v>1</v>
      </c>
      <c r="S19" s="11">
        <f t="shared" ref="S19:S22" si="12">IF((R19+R18)=1,((0.25-O18)*J19)/M19,R19)</f>
        <v>1</v>
      </c>
      <c r="T19" s="42">
        <f>IF(S19*M19&gt;0.1-T18,0.1-T18,S19*M19)</f>
        <v>0</v>
      </c>
      <c r="U19" s="42">
        <f>(M18+M19)/M23</f>
        <v>0</v>
      </c>
      <c r="V19" s="43">
        <f>IF(U19&lt;(0.5),1,0)</f>
        <v>1</v>
      </c>
      <c r="W19" s="43">
        <f>IF(V19+V18=1,0.5*M23-M18,M19*V19)</f>
        <v>0</v>
      </c>
      <c r="X19" s="42">
        <f t="shared" ref="X19:X22" si="13">IF(J19&gt;0,T19/J19,0)</f>
        <v>0</v>
      </c>
      <c r="Y19" s="42">
        <f>MIN(W19,T19)</f>
        <v>0</v>
      </c>
      <c r="Z19" s="46">
        <f>N19*K19*L19*T19/1000</f>
        <v>0</v>
      </c>
      <c r="AA19" s="46">
        <f t="shared" ref="AA19:AA22" si="14">IF(N19&gt;0,Z19/N19,0)</f>
        <v>0</v>
      </c>
      <c r="AB19" s="47"/>
      <c r="AC19" s="60"/>
      <c r="AD19" s="21"/>
      <c r="AG19" s="1">
        <v>4</v>
      </c>
      <c r="AH19" s="1" t="str">
        <f>I32</f>
        <v>naam constructie 2 &lt;-- onderzijde (gespiegelde weergave)</v>
      </c>
      <c r="AI19" s="1" t="str">
        <f t="shared" si="7"/>
        <v>naam constructie 2 &lt;-- onderzijde (gespiegelde weergave)</v>
      </c>
      <c r="AJ19" s="13">
        <f>AB38</f>
        <v>0</v>
      </c>
      <c r="AK19" s="13"/>
    </row>
    <row r="20" spans="1:37" x14ac:dyDescent="0.25">
      <c r="A20" s="1">
        <v>114</v>
      </c>
      <c r="B20" s="1" t="s">
        <v>15</v>
      </c>
      <c r="D20" s="21"/>
      <c r="E20" s="153"/>
      <c r="F20" s="21"/>
      <c r="H20" s="144"/>
      <c r="I20" s="140">
        <f>I13</f>
        <v>0</v>
      </c>
      <c r="J20" s="141">
        <f t="shared" ref="J20:M20" si="15">J13</f>
        <v>9.9999999999999995E-8</v>
      </c>
      <c r="K20" s="141">
        <f t="shared" si="15"/>
        <v>9.9999999999999995E-8</v>
      </c>
      <c r="L20" s="141">
        <f t="shared" si="15"/>
        <v>9.9999999999999995E-8</v>
      </c>
      <c r="M20" s="142">
        <f t="shared" si="15"/>
        <v>0</v>
      </c>
      <c r="N20" s="143">
        <f t="shared" si="10"/>
        <v>0</v>
      </c>
      <c r="O20" s="3">
        <f>O19+Q20</f>
        <v>0</v>
      </c>
      <c r="P20" s="3">
        <f t="shared" si="11"/>
        <v>0</v>
      </c>
      <c r="Q20" s="3">
        <f t="shared" ref="Q20:Q22" si="16">IF(M20&gt;0,M20/J20,0)</f>
        <v>0</v>
      </c>
      <c r="R20" s="10">
        <f>IF(O20&gt;0.25,0,1)</f>
        <v>1</v>
      </c>
      <c r="S20" s="11">
        <f t="shared" si="12"/>
        <v>1</v>
      </c>
      <c r="T20" s="42">
        <f>IF(S20*M20&gt;0.1-T19-T18,0.1-T19-T18,S20*M20)</f>
        <v>0</v>
      </c>
      <c r="U20" s="42">
        <f>(M18+M19+M20)/M23</f>
        <v>0</v>
      </c>
      <c r="V20" s="43">
        <f>IF(U20&lt;(0.5),1,0)</f>
        <v>1</v>
      </c>
      <c r="W20" s="43">
        <f>IF(V20+V19=1,0.5*M23-M19-M18,M20*V20)</f>
        <v>0</v>
      </c>
      <c r="X20" s="42">
        <f t="shared" si="13"/>
        <v>0</v>
      </c>
      <c r="Y20" s="42">
        <f t="shared" ref="Y20:Y22" si="17">MIN(W20,T20)</f>
        <v>0</v>
      </c>
      <c r="Z20" s="46">
        <f>N20*K20*L20*T20/1000</f>
        <v>0</v>
      </c>
      <c r="AA20" s="46">
        <f t="shared" si="14"/>
        <v>0</v>
      </c>
      <c r="AB20" s="47"/>
      <c r="AC20" s="60"/>
      <c r="AD20" s="21"/>
      <c r="AG20" s="1">
        <v>5</v>
      </c>
      <c r="AH20" s="1" t="str">
        <f>I40</f>
        <v>naam constructie 3</v>
      </c>
      <c r="AI20" s="1" t="str">
        <f t="shared" si="7"/>
        <v>naam constructie 3</v>
      </c>
      <c r="AJ20" s="13">
        <f>AB46</f>
        <v>0</v>
      </c>
      <c r="AK20" s="13"/>
    </row>
    <row r="21" spans="1:37" x14ac:dyDescent="0.25">
      <c r="D21" s="21"/>
      <c r="E21" s="153"/>
      <c r="F21" s="21"/>
      <c r="H21" s="144"/>
      <c r="I21" s="140">
        <f>I12</f>
        <v>0</v>
      </c>
      <c r="J21" s="141">
        <f t="shared" ref="J21:M21" si="18">J12</f>
        <v>9.9999999999999995E-8</v>
      </c>
      <c r="K21" s="141">
        <f t="shared" si="18"/>
        <v>9.9999999999999995E-8</v>
      </c>
      <c r="L21" s="141">
        <f t="shared" si="18"/>
        <v>9.9999999999999995E-8</v>
      </c>
      <c r="M21" s="142">
        <f t="shared" si="18"/>
        <v>0</v>
      </c>
      <c r="N21" s="143">
        <f t="shared" si="10"/>
        <v>0</v>
      </c>
      <c r="O21" s="3">
        <f>O20+Q21</f>
        <v>0</v>
      </c>
      <c r="P21" s="3">
        <f t="shared" si="11"/>
        <v>0</v>
      </c>
      <c r="Q21" s="3">
        <f t="shared" si="16"/>
        <v>0</v>
      </c>
      <c r="R21" s="10">
        <f>IF(O21&gt;0.25,0,1)</f>
        <v>1</v>
      </c>
      <c r="S21" s="11">
        <f t="shared" si="12"/>
        <v>1</v>
      </c>
      <c r="T21" s="42">
        <f>IF(S21*M21&gt;0.1-T20-T19-T18,0.1-T20-T19-T18,S21*M21)</f>
        <v>0</v>
      </c>
      <c r="U21" s="42">
        <f>(M18+M19+M20+M21)/M23</f>
        <v>0</v>
      </c>
      <c r="V21" s="43">
        <f>IF(U21&lt;(0.5),1,0)</f>
        <v>1</v>
      </c>
      <c r="W21" s="43">
        <f>IF(V21+V20=1,0.5*M23-M20-M19-M18,M21*V21)</f>
        <v>0</v>
      </c>
      <c r="X21" s="42">
        <f t="shared" si="13"/>
        <v>0</v>
      </c>
      <c r="Y21" s="42">
        <f t="shared" si="17"/>
        <v>0</v>
      </c>
      <c r="Z21" s="46">
        <f>N21*K21*L21*T21/1000</f>
        <v>0</v>
      </c>
      <c r="AA21" s="46">
        <f t="shared" si="14"/>
        <v>0</v>
      </c>
      <c r="AB21" s="47"/>
      <c r="AC21" s="60"/>
      <c r="AD21" s="21"/>
      <c r="AG21" s="1">
        <v>6</v>
      </c>
      <c r="AH21" s="1" t="str">
        <f>I47</f>
        <v>naam constructie 3 &lt;-- onderzijde (gespiegelde weergave)</v>
      </c>
      <c r="AI21" s="1" t="str">
        <f t="shared" si="7"/>
        <v>naam constructie 3 &lt;-- onderzijde (gespiegelde weergave)</v>
      </c>
      <c r="AJ21" s="13">
        <f>AB53</f>
        <v>0</v>
      </c>
      <c r="AK21" s="13"/>
    </row>
    <row r="22" spans="1:37" x14ac:dyDescent="0.25">
      <c r="A22" s="73" t="s">
        <v>145</v>
      </c>
      <c r="B22" s="73"/>
      <c r="D22" s="21"/>
      <c r="E22" s="153"/>
      <c r="F22" s="21"/>
      <c r="H22" s="144"/>
      <c r="I22" s="140">
        <f>I11</f>
        <v>0</v>
      </c>
      <c r="J22" s="141">
        <f t="shared" ref="J22:M22" si="19">J11</f>
        <v>9.9999999999999995E-8</v>
      </c>
      <c r="K22" s="141">
        <f t="shared" si="19"/>
        <v>9.9999999999999995E-8</v>
      </c>
      <c r="L22" s="141">
        <f t="shared" si="19"/>
        <v>9.9999999999999995E-8</v>
      </c>
      <c r="M22" s="142">
        <f t="shared" si="19"/>
        <v>0</v>
      </c>
      <c r="N22" s="143">
        <f t="shared" si="10"/>
        <v>0</v>
      </c>
      <c r="O22" s="3">
        <f>O21+Q22</f>
        <v>0</v>
      </c>
      <c r="P22" s="3">
        <f t="shared" si="11"/>
        <v>0</v>
      </c>
      <c r="Q22" s="3">
        <f t="shared" si="16"/>
        <v>0</v>
      </c>
      <c r="R22" s="10">
        <f>IF(O22&gt;0.25,0,1)</f>
        <v>1</v>
      </c>
      <c r="S22" s="11">
        <f t="shared" si="12"/>
        <v>1</v>
      </c>
      <c r="T22" s="42">
        <f>IF(S22*M22&gt;0.1-T21-T20-T19-T18,0.1-T21-T20-T19-T18,S22*M22)</f>
        <v>0</v>
      </c>
      <c r="U22" s="42">
        <f>(M18+M19+M20+M21+M22)/M23</f>
        <v>0</v>
      </c>
      <c r="V22" s="43">
        <f>IF(U22&lt;(0.5),1,0)</f>
        <v>1</v>
      </c>
      <c r="W22" s="43">
        <f>IF(V22+V21=1,0.5*M23-M21-M20-M19-M18,M22*V22)</f>
        <v>0</v>
      </c>
      <c r="X22" s="42">
        <f t="shared" si="13"/>
        <v>0</v>
      </c>
      <c r="Y22" s="42">
        <f t="shared" si="17"/>
        <v>0</v>
      </c>
      <c r="Z22" s="46">
        <f>N22*K22*L22*T22/1000</f>
        <v>0</v>
      </c>
      <c r="AA22" s="46">
        <f t="shared" si="14"/>
        <v>0</v>
      </c>
      <c r="AB22" s="47"/>
      <c r="AC22" s="60"/>
      <c r="AD22" s="21"/>
      <c r="AG22" s="1">
        <v>7</v>
      </c>
      <c r="AH22" s="1" t="str">
        <f>I55</f>
        <v>naam constructie 4</v>
      </c>
      <c r="AI22" s="1" t="str">
        <f t="shared" si="7"/>
        <v>naam constructie 4</v>
      </c>
      <c r="AJ22" s="13">
        <f>AB61</f>
        <v>0</v>
      </c>
      <c r="AK22" s="13"/>
    </row>
    <row r="23" spans="1:37" x14ac:dyDescent="0.25">
      <c r="A23" s="1">
        <v>120</v>
      </c>
      <c r="B23" s="1" t="s">
        <v>17</v>
      </c>
      <c r="D23" s="21"/>
      <c r="E23" s="21"/>
      <c r="F23" s="21"/>
      <c r="H23" s="55"/>
      <c r="I23" s="55"/>
      <c r="J23" s="56"/>
      <c r="K23" s="57"/>
      <c r="L23" s="56"/>
      <c r="M23" s="137">
        <f>SUM(M18:M22)+0.00000000000000001</f>
        <v>1.0000000000000001E-17</v>
      </c>
      <c r="N23" s="49">
        <f>N18</f>
        <v>0</v>
      </c>
      <c r="O23" s="57"/>
      <c r="P23" s="137">
        <f>SUM(P18:P22)</f>
        <v>0</v>
      </c>
      <c r="Q23" s="137">
        <f>SUM(Q18:Q22)</f>
        <v>0</v>
      </c>
      <c r="R23" s="57"/>
      <c r="S23" s="57"/>
      <c r="T23" s="137">
        <f>SUM(T18:T22)</f>
        <v>0</v>
      </c>
      <c r="U23" s="137"/>
      <c r="V23" s="138">
        <f>W23/M23</f>
        <v>0</v>
      </c>
      <c r="W23" s="137">
        <f>SUM(W18:W22)</f>
        <v>0</v>
      </c>
      <c r="X23" s="137">
        <f>SUM(X18:X22)</f>
        <v>0</v>
      </c>
      <c r="Y23" s="137"/>
      <c r="Z23" s="58">
        <f>SUM(Z18:Z22)</f>
        <v>0</v>
      </c>
      <c r="AA23" s="58">
        <f>IF(N23&gt;0,Z23/N23,0)</f>
        <v>0</v>
      </c>
      <c r="AB23" s="58">
        <f>Z23/$L$5</f>
        <v>0</v>
      </c>
      <c r="AC23" s="60"/>
      <c r="AD23" s="21"/>
      <c r="AG23" s="1">
        <v>8</v>
      </c>
      <c r="AH23" s="1" t="str">
        <f>I62</f>
        <v>naam constructie 4 &lt;-- onderzijde (gespiegelde weergave)</v>
      </c>
      <c r="AI23" s="1" t="str">
        <f t="shared" si="7"/>
        <v>naam constructie 4 &lt;-- onderzijde (gespiegelde weergave)</v>
      </c>
      <c r="AJ23" s="13">
        <f>AB68</f>
        <v>0</v>
      </c>
      <c r="AK23" s="13"/>
    </row>
    <row r="24" spans="1:37" ht="15.75" thickBot="1" x14ac:dyDescent="0.3">
      <c r="A24" s="1">
        <v>121</v>
      </c>
      <c r="B24" s="1" t="s">
        <v>18</v>
      </c>
      <c r="D24" s="21"/>
      <c r="E24" s="21"/>
      <c r="F24" s="21"/>
      <c r="H24" s="60"/>
      <c r="I24" s="61"/>
      <c r="J24" s="62"/>
      <c r="K24" s="63"/>
      <c r="L24" s="62"/>
      <c r="M24" s="3"/>
      <c r="N24" s="2"/>
      <c r="O24" s="63"/>
      <c r="P24" s="3"/>
      <c r="Q24" s="3"/>
      <c r="R24" s="63"/>
      <c r="S24" s="63"/>
      <c r="T24" s="3"/>
      <c r="U24" s="3"/>
      <c r="V24" s="11"/>
      <c r="W24" s="3"/>
      <c r="X24" s="3"/>
      <c r="Y24" s="36"/>
      <c r="Z24" s="9"/>
      <c r="AA24" s="9"/>
      <c r="AB24" s="9"/>
      <c r="AC24" s="60"/>
      <c r="AD24" s="21"/>
      <c r="AJ24" s="13"/>
      <c r="AK24" s="13"/>
    </row>
    <row r="25" spans="1:37" ht="14.45" customHeight="1" thickBot="1" x14ac:dyDescent="0.3">
      <c r="A25" s="1">
        <v>122</v>
      </c>
      <c r="B25" s="1" t="s">
        <v>19</v>
      </c>
      <c r="D25" s="21"/>
      <c r="E25" s="151" t="s">
        <v>135</v>
      </c>
      <c r="F25" s="21"/>
      <c r="H25" s="55"/>
      <c r="I25" s="150" t="s">
        <v>198</v>
      </c>
      <c r="J25" s="51"/>
      <c r="K25" s="51"/>
      <c r="L25" s="51"/>
      <c r="M25" s="51"/>
      <c r="N25" s="51"/>
      <c r="O25" s="49"/>
      <c r="P25" s="49"/>
      <c r="Q25" s="49"/>
      <c r="R25" s="145">
        <v>1</v>
      </c>
      <c r="S25" s="146"/>
      <c r="T25" s="49"/>
      <c r="U25" s="49"/>
      <c r="V25" s="49"/>
      <c r="W25" s="49"/>
      <c r="X25" s="49"/>
      <c r="Y25" s="134" t="str">
        <f>I25</f>
        <v>naam constructie 2</v>
      </c>
      <c r="Z25" s="72">
        <f>Z31+Z38</f>
        <v>0</v>
      </c>
      <c r="AA25" s="72">
        <f>AA31+AA38</f>
        <v>0</v>
      </c>
      <c r="AB25" s="72">
        <f>AB31+AB38</f>
        <v>0</v>
      </c>
      <c r="AC25" s="60"/>
      <c r="AD25" s="21"/>
      <c r="AG25" s="1">
        <v>9</v>
      </c>
      <c r="AH25" s="1" t="str">
        <f>I70</f>
        <v>naam constructie 5</v>
      </c>
      <c r="AI25" s="1" t="str">
        <f t="shared" si="7"/>
        <v>naam constructie 5</v>
      </c>
      <c r="AJ25" s="13">
        <f>AB76</f>
        <v>0</v>
      </c>
      <c r="AK25" s="13"/>
    </row>
    <row r="26" spans="1:37" x14ac:dyDescent="0.25">
      <c r="A26" s="1">
        <v>123</v>
      </c>
      <c r="B26" s="1" t="s">
        <v>20</v>
      </c>
      <c r="D26" s="21"/>
      <c r="E26" s="151"/>
      <c r="F26" s="21"/>
      <c r="H26" s="126"/>
      <c r="I26" s="135" cm="1">
        <f t="array" ref="I26">_xlfn.XLOOKUP(H26,MateriaalDatabank!$A$1:A315,MateriaalDatabank!$B$1:B315,0.0000001)</f>
        <v>0</v>
      </c>
      <c r="J26" s="135" cm="1">
        <f t="array" ref="J26">_xlfn.XLOOKUP(I26,MateriaalDatabank!$B$1:B315,MateriaalDatabank!$C$1:C315,0.0000001)</f>
        <v>9.9999999999999995E-8</v>
      </c>
      <c r="K26" s="135" cm="1">
        <f t="array" ref="K26">_xlfn.XLOOKUP(I26,MateriaalDatabank!$B$1:B315,MateriaalDatabank!$D$1:D315,0.0000001)</f>
        <v>9.9999999999999995E-8</v>
      </c>
      <c r="L26" s="135" cm="1">
        <f t="array" ref="L26">_xlfn.XLOOKUP(I26,MateriaalDatabank!$B$1:B315,MateriaalDatabank!$E$1:E315,0.0000001)</f>
        <v>9.9999999999999995E-8</v>
      </c>
      <c r="M26" s="69"/>
      <c r="N26" s="71"/>
      <c r="O26" s="36">
        <f>Q26</f>
        <v>0</v>
      </c>
      <c r="P26" s="36">
        <f>IF(S26&gt;0,S26*M26,0)</f>
        <v>0</v>
      </c>
      <c r="Q26" s="36">
        <f>IF(M26&gt;0,M26/J26,0)</f>
        <v>0</v>
      </c>
      <c r="R26" s="37">
        <f>IF(O26&gt;0.25,0,1)</f>
        <v>1</v>
      </c>
      <c r="S26" s="38">
        <f>IF((R26+R25)=1,((0.25-O25)*J26)/M26,R26)</f>
        <v>1</v>
      </c>
      <c r="T26" s="40">
        <f>IF(S26*M26&gt;0.1,0.1,S26*M26)</f>
        <v>0</v>
      </c>
      <c r="U26" s="40">
        <f>M26/M31</f>
        <v>0</v>
      </c>
      <c r="V26" s="41">
        <f>IF(U26&lt;(0.5),1,0)</f>
        <v>1</v>
      </c>
      <c r="W26" s="41">
        <f>IF(V26+V25=0,0.5*M31,M26*V26)</f>
        <v>0</v>
      </c>
      <c r="X26" s="40">
        <f>IF(J26&gt;0,T26/J26,0)</f>
        <v>0</v>
      </c>
      <c r="Y26" s="40">
        <f>MIN(W26,T26)</f>
        <v>0</v>
      </c>
      <c r="Z26" s="44">
        <f>N26*K26*L26*T26/1000</f>
        <v>0</v>
      </c>
      <c r="AA26" s="44">
        <f>IF(N26&gt;0,Z26/N26,0)</f>
        <v>0</v>
      </c>
      <c r="AB26" s="45"/>
      <c r="AC26" s="60"/>
      <c r="AD26" s="21"/>
      <c r="AG26" s="1">
        <v>10</v>
      </c>
      <c r="AH26" s="1" t="str">
        <f>I77</f>
        <v>naam constructie 5 &lt;-- onderzijde (gespiegelde weergave)</v>
      </c>
      <c r="AI26" s="1" t="str">
        <f t="shared" si="7"/>
        <v>naam constructie 5 &lt;-- onderzijde (gespiegelde weergave)</v>
      </c>
      <c r="AJ26" s="13">
        <f>AB83</f>
        <v>0</v>
      </c>
      <c r="AK26" s="13"/>
    </row>
    <row r="27" spans="1:37" x14ac:dyDescent="0.25">
      <c r="A27" s="1">
        <v>124</v>
      </c>
      <c r="B27" s="1" t="s">
        <v>21</v>
      </c>
      <c r="D27" s="21"/>
      <c r="E27" s="151"/>
      <c r="F27" s="21"/>
      <c r="H27" s="126"/>
      <c r="I27" s="135" cm="1">
        <f t="array" ref="I27">_xlfn.XLOOKUP(H27,MateriaalDatabank!$A$1:A316,MateriaalDatabank!$B$1:B316,0.0000001)</f>
        <v>0</v>
      </c>
      <c r="J27" s="135" cm="1">
        <f t="array" ref="J27">_xlfn.XLOOKUP(I27,MateriaalDatabank!$B$1:B316,MateriaalDatabank!$C$1:C316,0.0000001)</f>
        <v>9.9999999999999995E-8</v>
      </c>
      <c r="K27" s="135" cm="1">
        <f t="array" ref="K27">_xlfn.XLOOKUP(I27,MateriaalDatabank!$B$1:B316,MateriaalDatabank!$D$1:D316,0.0000001)</f>
        <v>9.9999999999999995E-8</v>
      </c>
      <c r="L27" s="135" cm="1">
        <f t="array" ref="L27">_xlfn.XLOOKUP(I27,MateriaalDatabank!$B$1:B316,MateriaalDatabank!$E$1:E316,0.0000001)</f>
        <v>9.9999999999999995E-8</v>
      </c>
      <c r="M27" s="70"/>
      <c r="N27" s="136">
        <f>N26</f>
        <v>0</v>
      </c>
      <c r="O27" s="3">
        <f>O26+Q27</f>
        <v>0</v>
      </c>
      <c r="P27" s="3">
        <f t="shared" ref="P27:P30" si="20">IF(S27&gt;0,S27*M27,0)</f>
        <v>0</v>
      </c>
      <c r="Q27" s="3">
        <f>IF(M27&gt;0,M27/J27,0)</f>
        <v>0</v>
      </c>
      <c r="R27" s="10">
        <f>IF(O27&gt;0.25,0,1)</f>
        <v>1</v>
      </c>
      <c r="S27" s="11">
        <f t="shared" ref="S27:S30" si="21">IF((R27+R26)=1,((0.25-O26)*J27)/M27,R27)</f>
        <v>1</v>
      </c>
      <c r="T27" s="42">
        <f>IF(S27*M27&gt;0.1-T26,0.1-T26,S27*M27)</f>
        <v>0</v>
      </c>
      <c r="U27" s="42">
        <f>(M26+M27)/M31</f>
        <v>0</v>
      </c>
      <c r="V27" s="43">
        <f>IF(U27&lt;(0.5),1,0)</f>
        <v>1</v>
      </c>
      <c r="W27" s="43">
        <f>IF(V27+V26=1,0.5*M31-M26,M27*V27)</f>
        <v>0</v>
      </c>
      <c r="X27" s="42">
        <f t="shared" ref="X27:X30" si="22">IF(J27&gt;0,T27/J27,0)</f>
        <v>0</v>
      </c>
      <c r="Y27" s="42">
        <f>MIN(W27,T27)</f>
        <v>0</v>
      </c>
      <c r="Z27" s="46">
        <f>N27*K27*L27*T27/1000</f>
        <v>0</v>
      </c>
      <c r="AA27" s="46">
        <f t="shared" ref="AA27:AA30" si="23">IF(N27&gt;0,Z27/N27,0)</f>
        <v>0</v>
      </c>
      <c r="AB27" s="47"/>
      <c r="AC27" s="60"/>
      <c r="AD27" s="21"/>
      <c r="AG27" s="1">
        <v>11</v>
      </c>
      <c r="AH27" s="1" t="str">
        <f>I85</f>
        <v>naam constructie 6</v>
      </c>
      <c r="AI27" s="1" t="str">
        <f t="shared" si="7"/>
        <v>naam constructie 6</v>
      </c>
      <c r="AJ27" s="13">
        <f>AB91</f>
        <v>0</v>
      </c>
      <c r="AK27" s="13"/>
    </row>
    <row r="28" spans="1:37" x14ac:dyDescent="0.25">
      <c r="D28" s="21"/>
      <c r="E28" s="151"/>
      <c r="F28" s="21"/>
      <c r="H28" s="126"/>
      <c r="I28" s="135" cm="1">
        <f t="array" ref="I28">_xlfn.XLOOKUP(H28,MateriaalDatabank!$A$1:A317,MateriaalDatabank!$B$1:B317,0.0000001)</f>
        <v>0</v>
      </c>
      <c r="J28" s="135" cm="1">
        <f t="array" ref="J28">_xlfn.XLOOKUP(I28,MateriaalDatabank!$B$1:B317,MateriaalDatabank!$C$1:C317,0.0000001)</f>
        <v>9.9999999999999995E-8</v>
      </c>
      <c r="K28" s="135" cm="1">
        <f t="array" ref="K28">_xlfn.XLOOKUP(I28,MateriaalDatabank!$B$1:B317,MateriaalDatabank!$D$1:D317,0.0000001)</f>
        <v>9.9999999999999995E-8</v>
      </c>
      <c r="L28" s="135" cm="1">
        <f t="array" ref="L28">_xlfn.XLOOKUP(I28,MateriaalDatabank!$B$1:B317,MateriaalDatabank!$E$1:E317,0.0000001)</f>
        <v>9.9999999999999995E-8</v>
      </c>
      <c r="M28" s="70"/>
      <c r="N28" s="136">
        <f>N27</f>
        <v>0</v>
      </c>
      <c r="O28" s="3">
        <f>O27+Q28</f>
        <v>0</v>
      </c>
      <c r="P28" s="3">
        <f t="shared" si="20"/>
        <v>0</v>
      </c>
      <c r="Q28" s="3">
        <f t="shared" ref="Q28:Q30" si="24">IF(M28&gt;0,M28/J28,0)</f>
        <v>0</v>
      </c>
      <c r="R28" s="10">
        <f>IF(O28&gt;0.25,0,1)</f>
        <v>1</v>
      </c>
      <c r="S28" s="11">
        <f t="shared" si="21"/>
        <v>1</v>
      </c>
      <c r="T28" s="42">
        <f>IF(S28*M28&gt;0.1-T27-T26,0.1-T27-T26,S28*M28)</f>
        <v>0</v>
      </c>
      <c r="U28" s="42">
        <f>(M26+M27+M28)/M31</f>
        <v>0</v>
      </c>
      <c r="V28" s="43">
        <f>IF(U28&lt;(0.5),1,0)</f>
        <v>1</v>
      </c>
      <c r="W28" s="43">
        <f>IF(V28+V27=1,0.5*M31-M27-M26,M28*V28)</f>
        <v>0</v>
      </c>
      <c r="X28" s="42">
        <f t="shared" si="22"/>
        <v>0</v>
      </c>
      <c r="Y28" s="42">
        <f t="shared" ref="Y28:Y30" si="25">MIN(W28,T28)</f>
        <v>0</v>
      </c>
      <c r="Z28" s="46">
        <f>N28*K28*L28*T28/1000</f>
        <v>0</v>
      </c>
      <c r="AA28" s="46">
        <f t="shared" si="23"/>
        <v>0</v>
      </c>
      <c r="AB28" s="47"/>
      <c r="AC28" s="60"/>
      <c r="AD28" s="21"/>
      <c r="AG28" s="1">
        <v>12</v>
      </c>
      <c r="AH28" s="1" t="str">
        <f>I92</f>
        <v>naam constructie 6 &lt;-- onderzijde (gespiegelde weergave)</v>
      </c>
      <c r="AI28" s="1" t="str">
        <f t="shared" si="7"/>
        <v>naam constructie 6 &lt;-- onderzijde (gespiegelde weergave)</v>
      </c>
      <c r="AJ28" s="13">
        <f>AB98</f>
        <v>0</v>
      </c>
      <c r="AK28" s="13"/>
    </row>
    <row r="29" spans="1:37" x14ac:dyDescent="0.25">
      <c r="A29" s="73" t="s">
        <v>146</v>
      </c>
      <c r="B29" s="73"/>
      <c r="D29" s="21"/>
      <c r="E29" s="151"/>
      <c r="F29" s="21"/>
      <c r="H29" s="126"/>
      <c r="I29" s="135" cm="1">
        <f t="array" ref="I29">_xlfn.XLOOKUP(H29,MateriaalDatabank!$A$1:A318,MateriaalDatabank!$B$1:B318,0.0000001)</f>
        <v>0</v>
      </c>
      <c r="J29" s="135" cm="1">
        <f t="array" ref="J29">_xlfn.XLOOKUP(I29,MateriaalDatabank!$B$1:B318,MateriaalDatabank!$C$1:C318,0.0000001)</f>
        <v>9.9999999999999995E-8</v>
      </c>
      <c r="K29" s="135" cm="1">
        <f t="array" ref="K29">_xlfn.XLOOKUP(I29,MateriaalDatabank!$B$1:B318,MateriaalDatabank!$D$1:D318,0.0000001)</f>
        <v>9.9999999999999995E-8</v>
      </c>
      <c r="L29" s="135" cm="1">
        <f t="array" ref="L29">_xlfn.XLOOKUP(I29,MateriaalDatabank!$B$1:B318,MateriaalDatabank!$E$1:E318,0.0000001)</f>
        <v>9.9999999999999995E-8</v>
      </c>
      <c r="M29" s="70"/>
      <c r="N29" s="136">
        <f t="shared" ref="N29:N30" si="26">N28</f>
        <v>0</v>
      </c>
      <c r="O29" s="3">
        <f>O28+Q29</f>
        <v>0</v>
      </c>
      <c r="P29" s="3">
        <f t="shared" si="20"/>
        <v>0</v>
      </c>
      <c r="Q29" s="3">
        <f t="shared" si="24"/>
        <v>0</v>
      </c>
      <c r="R29" s="10">
        <f>IF(O29&gt;0.25,0,1)</f>
        <v>1</v>
      </c>
      <c r="S29" s="11">
        <f t="shared" si="21"/>
        <v>1</v>
      </c>
      <c r="T29" s="42">
        <f>IF(S29*M29&gt;0.1-T28-T27-T26,0.1-T28-T27-T26,S29*M29)</f>
        <v>0</v>
      </c>
      <c r="U29" s="42">
        <f>(M26+M27+M28+M29)/M31</f>
        <v>0</v>
      </c>
      <c r="V29" s="43">
        <f>IF(U29&lt;(0.5),1,0)</f>
        <v>1</v>
      </c>
      <c r="W29" s="43">
        <f>IF(V29+V28=1,0.5*M31-M28-M27-M26,M29*V29)</f>
        <v>0</v>
      </c>
      <c r="X29" s="42">
        <f t="shared" si="22"/>
        <v>0</v>
      </c>
      <c r="Y29" s="42">
        <f t="shared" si="25"/>
        <v>0</v>
      </c>
      <c r="Z29" s="46">
        <f>N29*K29*L29*T29/1000</f>
        <v>0</v>
      </c>
      <c r="AA29" s="46">
        <f t="shared" si="23"/>
        <v>0</v>
      </c>
      <c r="AB29" s="47"/>
      <c r="AC29" s="60"/>
      <c r="AD29" s="21"/>
      <c r="AK29" s="13"/>
    </row>
    <row r="30" spans="1:37" x14ac:dyDescent="0.25">
      <c r="A30" s="1">
        <v>130</v>
      </c>
      <c r="B30" s="1" t="s">
        <v>23</v>
      </c>
      <c r="D30" s="21"/>
      <c r="E30" s="151"/>
      <c r="F30" s="21"/>
      <c r="H30" s="126"/>
      <c r="I30" s="135" cm="1">
        <f t="array" ref="I30">_xlfn.XLOOKUP(H30,MateriaalDatabank!$A$1:A319,MateriaalDatabank!$B$1:B319,0.0000001)</f>
        <v>0</v>
      </c>
      <c r="J30" s="135" cm="1">
        <f t="array" ref="J30">_xlfn.XLOOKUP(I30,MateriaalDatabank!$B$1:B319,MateriaalDatabank!$C$1:C319,0.0000001)</f>
        <v>9.9999999999999995E-8</v>
      </c>
      <c r="K30" s="135" cm="1">
        <f t="array" ref="K30">_xlfn.XLOOKUP(I30,MateriaalDatabank!$B$1:B319,MateriaalDatabank!$D$1:D319,0.0000001)</f>
        <v>9.9999999999999995E-8</v>
      </c>
      <c r="L30" s="135" cm="1">
        <f t="array" ref="L30">_xlfn.XLOOKUP(I30,MateriaalDatabank!$B$1:B319,MateriaalDatabank!$E$1:E319,0.0000001)</f>
        <v>9.9999999999999995E-8</v>
      </c>
      <c r="M30" s="70"/>
      <c r="N30" s="136">
        <f t="shared" si="26"/>
        <v>0</v>
      </c>
      <c r="O30" s="3">
        <f>O29+Q30</f>
        <v>0</v>
      </c>
      <c r="P30" s="3">
        <f t="shared" si="20"/>
        <v>0</v>
      </c>
      <c r="Q30" s="3">
        <f t="shared" si="24"/>
        <v>0</v>
      </c>
      <c r="R30" s="10">
        <f>IF(O30&gt;0.25,0,1)</f>
        <v>1</v>
      </c>
      <c r="S30" s="11">
        <f t="shared" si="21"/>
        <v>1</v>
      </c>
      <c r="T30" s="42">
        <f>IF(S30*M30&gt;0.1-T29-T28-T27-T26,0.1-T29-T28-T27-T26,S30*M30)</f>
        <v>0</v>
      </c>
      <c r="U30" s="42">
        <f>(M26+M27+M28+M29+M30)/M31</f>
        <v>0</v>
      </c>
      <c r="V30" s="43">
        <f>IF(U30&lt;(0.5),1,0)</f>
        <v>1</v>
      </c>
      <c r="W30" s="43">
        <f>IF(V30+V29=1,0.5*M31-M29-M28-M27-M26,M30*V30)</f>
        <v>0</v>
      </c>
      <c r="X30" s="42">
        <f t="shared" si="22"/>
        <v>0</v>
      </c>
      <c r="Y30" s="42">
        <f t="shared" si="25"/>
        <v>0</v>
      </c>
      <c r="Z30" s="46">
        <f>N30*K30*L30*T30/1000</f>
        <v>0</v>
      </c>
      <c r="AA30" s="46">
        <f t="shared" si="23"/>
        <v>0</v>
      </c>
      <c r="AB30" s="47"/>
      <c r="AC30" s="60"/>
      <c r="AD30" s="21"/>
      <c r="AK30" s="13"/>
    </row>
    <row r="31" spans="1:37" x14ac:dyDescent="0.25">
      <c r="A31" s="1">
        <v>131</v>
      </c>
      <c r="B31" s="1" t="s">
        <v>24</v>
      </c>
      <c r="D31" s="21"/>
      <c r="E31" s="18"/>
      <c r="F31" s="21"/>
      <c r="H31" s="55"/>
      <c r="I31" s="55"/>
      <c r="J31" s="56"/>
      <c r="K31" s="57"/>
      <c r="L31" s="56"/>
      <c r="M31" s="137">
        <f>SUM(M26:M30)+0.00000000000000001</f>
        <v>1.0000000000000001E-17</v>
      </c>
      <c r="N31" s="49">
        <f>N26</f>
        <v>0</v>
      </c>
      <c r="O31" s="57"/>
      <c r="P31" s="137">
        <f>SUM(P26:P30)</f>
        <v>0</v>
      </c>
      <c r="Q31" s="137">
        <f>SUM(Q26:Q30)</f>
        <v>0</v>
      </c>
      <c r="R31" s="57"/>
      <c r="S31" s="57"/>
      <c r="T31" s="137">
        <f>SUM(T26:T30)</f>
        <v>0</v>
      </c>
      <c r="U31" s="137"/>
      <c r="V31" s="138">
        <f>W31/M31</f>
        <v>0</v>
      </c>
      <c r="W31" s="137">
        <f>SUM(W26:W30)</f>
        <v>0</v>
      </c>
      <c r="X31" s="137">
        <f>SUM(X26:X30)</f>
        <v>0</v>
      </c>
      <c r="Y31" s="137"/>
      <c r="Z31" s="58">
        <f>SUM(Z26:Z30)</f>
        <v>0</v>
      </c>
      <c r="AA31" s="58">
        <f>IF(N31&gt;0,Z31/N31,0)</f>
        <v>0</v>
      </c>
      <c r="AB31" s="58">
        <f>Z31/$L$5</f>
        <v>0</v>
      </c>
      <c r="AC31" s="60"/>
      <c r="AD31" s="21"/>
    </row>
    <row r="32" spans="1:37" ht="14.45" customHeight="1" x14ac:dyDescent="0.25">
      <c r="A32" s="1">
        <v>132</v>
      </c>
      <c r="B32" s="1" t="s">
        <v>25</v>
      </c>
      <c r="D32" s="21"/>
      <c r="E32" s="151" t="s">
        <v>136</v>
      </c>
      <c r="F32" s="83" t="s">
        <v>163</v>
      </c>
      <c r="H32" s="127">
        <v>0</v>
      </c>
      <c r="I32" s="52" t="str">
        <f>I25 &amp; " &lt;-- onderzijde (gespiegelde weergave)"</f>
        <v>naam constructie 2 &lt;-- onderzijde (gespiegelde weergave)</v>
      </c>
      <c r="J32" s="53"/>
      <c r="K32" s="53"/>
      <c r="L32" s="53"/>
      <c r="M32" s="53"/>
      <c r="N32" s="54"/>
      <c r="O32" s="2"/>
      <c r="P32" s="2"/>
      <c r="Q32" s="2"/>
      <c r="R32" s="139">
        <v>1</v>
      </c>
      <c r="S32" s="10"/>
      <c r="T32" s="42"/>
      <c r="U32" s="42"/>
      <c r="V32" s="43"/>
      <c r="W32" s="43"/>
      <c r="X32" s="42"/>
      <c r="Y32" s="42"/>
      <c r="Z32" s="48"/>
      <c r="AA32" s="48"/>
      <c r="AB32" s="48"/>
      <c r="AC32" s="60"/>
      <c r="AD32" s="21"/>
    </row>
    <row r="33" spans="1:30" x14ac:dyDescent="0.25">
      <c r="A33" s="1">
        <v>133</v>
      </c>
      <c r="B33" s="1" t="s">
        <v>26</v>
      </c>
      <c r="D33" s="21"/>
      <c r="E33" s="151"/>
      <c r="F33" s="21"/>
      <c r="H33" s="53"/>
      <c r="I33" s="140">
        <f>I30</f>
        <v>0</v>
      </c>
      <c r="J33" s="141">
        <f t="shared" ref="J33:M33" si="27">J30</f>
        <v>9.9999999999999995E-8</v>
      </c>
      <c r="K33" s="141">
        <f t="shared" si="27"/>
        <v>9.9999999999999995E-8</v>
      </c>
      <c r="L33" s="141">
        <f t="shared" si="27"/>
        <v>9.9999999999999995E-8</v>
      </c>
      <c r="M33" s="142">
        <f t="shared" si="27"/>
        <v>0</v>
      </c>
      <c r="N33" s="143">
        <f>N26*$H$32</f>
        <v>0</v>
      </c>
      <c r="O33" s="3">
        <f>Q33</f>
        <v>0</v>
      </c>
      <c r="P33" s="3">
        <f>IF(S33&gt;0,S33*M33,0)</f>
        <v>0</v>
      </c>
      <c r="Q33" s="3">
        <f>IF(M33&gt;0,M33/J33,0)</f>
        <v>0</v>
      </c>
      <c r="R33" s="10">
        <f>IF(O33&gt;0.25,0,1)</f>
        <v>1</v>
      </c>
      <c r="S33" s="11">
        <f>IF((R33+R32)=1,((0.25-O32)*J33)/M33,R33)</f>
        <v>1</v>
      </c>
      <c r="T33" s="42">
        <f>IF(S33*M33&gt;0.1,0.1,S33*M33)</f>
        <v>0</v>
      </c>
      <c r="U33" s="42">
        <f>M33/M38</f>
        <v>0</v>
      </c>
      <c r="V33" s="43">
        <f>IF(U33&lt;(0.5),1,0)</f>
        <v>1</v>
      </c>
      <c r="W33" s="41">
        <f>IF(V33+V32=0,0.5*M38,M33*V33)</f>
        <v>0</v>
      </c>
      <c r="X33" s="42">
        <f>IF(J33&gt;0,T33/J33,0)</f>
        <v>0</v>
      </c>
      <c r="Y33" s="42">
        <f>MIN(W33,T33)</f>
        <v>0</v>
      </c>
      <c r="Z33" s="46">
        <f>N33*K33*L33*T33/1000</f>
        <v>0</v>
      </c>
      <c r="AA33" s="46">
        <f>IF(N33&gt;0,Z33/N33,0)</f>
        <v>0</v>
      </c>
      <c r="AB33" s="47"/>
      <c r="AC33" s="60"/>
      <c r="AD33" s="21"/>
    </row>
    <row r="34" spans="1:30" x14ac:dyDescent="0.25">
      <c r="D34" s="21"/>
      <c r="E34" s="151"/>
      <c r="F34" s="21"/>
      <c r="H34" s="144"/>
      <c r="I34" s="140">
        <f>I29</f>
        <v>0</v>
      </c>
      <c r="J34" s="141">
        <f t="shared" ref="J34:M34" si="28">J29</f>
        <v>9.9999999999999995E-8</v>
      </c>
      <c r="K34" s="141">
        <f t="shared" si="28"/>
        <v>9.9999999999999995E-8</v>
      </c>
      <c r="L34" s="141">
        <f t="shared" si="28"/>
        <v>9.9999999999999995E-8</v>
      </c>
      <c r="M34" s="142">
        <f t="shared" si="28"/>
        <v>0</v>
      </c>
      <c r="N34" s="143">
        <f t="shared" ref="N34:N37" si="29">N27*$H$32</f>
        <v>0</v>
      </c>
      <c r="O34" s="3">
        <f>O33+Q34</f>
        <v>0</v>
      </c>
      <c r="P34" s="3">
        <f t="shared" ref="P34:P37" si="30">IF(S34&gt;0,S34*M34,0)</f>
        <v>0</v>
      </c>
      <c r="Q34" s="3">
        <f>IF(M34&gt;0,M34/J34,0)</f>
        <v>0</v>
      </c>
      <c r="R34" s="10">
        <f>IF(O34&gt;0.25,0,1)</f>
        <v>1</v>
      </c>
      <c r="S34" s="11">
        <f t="shared" ref="S34:S37" si="31">IF((R34+R33)=1,((0.25-O33)*J34)/M34,R34)</f>
        <v>1</v>
      </c>
      <c r="T34" s="42">
        <f>IF(S34*M34&gt;0.1-T33,0.1-T33,S34*M34)</f>
        <v>0</v>
      </c>
      <c r="U34" s="42">
        <f>(M33+M34)/M38</f>
        <v>0</v>
      </c>
      <c r="V34" s="43">
        <f>IF(U34&lt;(0.5),1,0)</f>
        <v>1</v>
      </c>
      <c r="W34" s="43">
        <f>IF(V34+V33=1,0.5*M38-M33,M34*V34)</f>
        <v>0</v>
      </c>
      <c r="X34" s="42">
        <f t="shared" ref="X34:X37" si="32">IF(J34&gt;0,T34/J34,0)</f>
        <v>0</v>
      </c>
      <c r="Y34" s="42">
        <f>MIN(W34,T34)</f>
        <v>0</v>
      </c>
      <c r="Z34" s="46">
        <f>N34*K34*L34*T34/1000</f>
        <v>0</v>
      </c>
      <c r="AA34" s="46">
        <f t="shared" ref="AA34:AA37" si="33">IF(N34&gt;0,Z34/N34,0)</f>
        <v>0</v>
      </c>
      <c r="AB34" s="47"/>
      <c r="AC34" s="60"/>
      <c r="AD34" s="21"/>
    </row>
    <row r="35" spans="1:30" x14ac:dyDescent="0.25">
      <c r="A35" s="73" t="s">
        <v>147</v>
      </c>
      <c r="B35" s="73"/>
      <c r="D35" s="21"/>
      <c r="E35" s="151"/>
      <c r="F35" s="21"/>
      <c r="H35" s="144"/>
      <c r="I35" s="140">
        <f>I28</f>
        <v>0</v>
      </c>
      <c r="J35" s="141">
        <f t="shared" ref="J35:M35" si="34">J28</f>
        <v>9.9999999999999995E-8</v>
      </c>
      <c r="K35" s="141">
        <f t="shared" si="34"/>
        <v>9.9999999999999995E-8</v>
      </c>
      <c r="L35" s="141">
        <f t="shared" si="34"/>
        <v>9.9999999999999995E-8</v>
      </c>
      <c r="M35" s="142">
        <f t="shared" si="34"/>
        <v>0</v>
      </c>
      <c r="N35" s="143">
        <f t="shared" si="29"/>
        <v>0</v>
      </c>
      <c r="O35" s="3">
        <f>O34+Q35</f>
        <v>0</v>
      </c>
      <c r="P35" s="3">
        <f t="shared" si="30"/>
        <v>0</v>
      </c>
      <c r="Q35" s="3">
        <f t="shared" ref="Q35:Q37" si="35">IF(M35&gt;0,M35/J35,0)</f>
        <v>0</v>
      </c>
      <c r="R35" s="10">
        <f>IF(O35&gt;0.25,0,1)</f>
        <v>1</v>
      </c>
      <c r="S35" s="11">
        <f t="shared" si="31"/>
        <v>1</v>
      </c>
      <c r="T35" s="42">
        <f>IF(S35*M35&gt;0.1-T34-T33,0.1-T34-T33,S35*M35)</f>
        <v>0</v>
      </c>
      <c r="U35" s="42">
        <f>(M33+M34+M35)/M38</f>
        <v>0</v>
      </c>
      <c r="V35" s="43">
        <f>IF(U35&lt;(0.5),1,0)</f>
        <v>1</v>
      </c>
      <c r="W35" s="43">
        <f>IF(V35+V34=1,0.5*M38-M34-M33,M35*V35)</f>
        <v>0</v>
      </c>
      <c r="X35" s="42">
        <f t="shared" si="32"/>
        <v>0</v>
      </c>
      <c r="Y35" s="42">
        <f t="shared" ref="Y35:Y37" si="36">MIN(W35,T35)</f>
        <v>0</v>
      </c>
      <c r="Z35" s="46">
        <f>N35*K35*L35*T35/1000</f>
        <v>0</v>
      </c>
      <c r="AA35" s="46">
        <f t="shared" si="33"/>
        <v>0</v>
      </c>
      <c r="AB35" s="47"/>
      <c r="AC35" s="60"/>
      <c r="AD35" s="21"/>
    </row>
    <row r="36" spans="1:30" x14ac:dyDescent="0.25">
      <c r="A36" s="1">
        <v>140</v>
      </c>
      <c r="B36" s="1" t="s">
        <v>29</v>
      </c>
      <c r="D36" s="21"/>
      <c r="E36" s="151"/>
      <c r="F36" s="21"/>
      <c r="H36" s="144"/>
      <c r="I36" s="140">
        <f>I27</f>
        <v>0</v>
      </c>
      <c r="J36" s="141">
        <f t="shared" ref="J36:M36" si="37">J27</f>
        <v>9.9999999999999995E-8</v>
      </c>
      <c r="K36" s="141">
        <f t="shared" si="37"/>
        <v>9.9999999999999995E-8</v>
      </c>
      <c r="L36" s="141">
        <f t="shared" si="37"/>
        <v>9.9999999999999995E-8</v>
      </c>
      <c r="M36" s="142">
        <f t="shared" si="37"/>
        <v>0</v>
      </c>
      <c r="N36" s="143">
        <f t="shared" si="29"/>
        <v>0</v>
      </c>
      <c r="O36" s="3">
        <f>O35+Q36</f>
        <v>0</v>
      </c>
      <c r="P36" s="3">
        <f t="shared" si="30"/>
        <v>0</v>
      </c>
      <c r="Q36" s="3">
        <f t="shared" si="35"/>
        <v>0</v>
      </c>
      <c r="R36" s="10">
        <f>IF(O36&gt;0.25,0,1)</f>
        <v>1</v>
      </c>
      <c r="S36" s="11">
        <f t="shared" si="31"/>
        <v>1</v>
      </c>
      <c r="T36" s="42">
        <f>IF(S36*M36&gt;0.1-T35-T34-T33,0.1-T35-T34-T33,S36*M36)</f>
        <v>0</v>
      </c>
      <c r="U36" s="42">
        <f>(M33+M34+M35+M36)/M38</f>
        <v>0</v>
      </c>
      <c r="V36" s="43">
        <f>IF(U36&lt;(0.5),1,0)</f>
        <v>1</v>
      </c>
      <c r="W36" s="43">
        <f>IF(V36+V35=1,0.5*M38-M35-M34-M33,M36*V36)</f>
        <v>0</v>
      </c>
      <c r="X36" s="42">
        <f t="shared" si="32"/>
        <v>0</v>
      </c>
      <c r="Y36" s="42">
        <f t="shared" si="36"/>
        <v>0</v>
      </c>
      <c r="Z36" s="46">
        <f>N36*K36*L36*T36/1000</f>
        <v>0</v>
      </c>
      <c r="AA36" s="46">
        <f t="shared" si="33"/>
        <v>0</v>
      </c>
      <c r="AB36" s="47"/>
      <c r="AC36" s="60"/>
      <c r="AD36" s="21"/>
    </row>
    <row r="37" spans="1:30" x14ac:dyDescent="0.25">
      <c r="A37" s="1">
        <v>141</v>
      </c>
      <c r="B37" s="1" t="s">
        <v>30</v>
      </c>
      <c r="D37" s="21"/>
      <c r="E37" s="151"/>
      <c r="F37" s="21"/>
      <c r="H37" s="144"/>
      <c r="I37" s="140">
        <f>I26</f>
        <v>0</v>
      </c>
      <c r="J37" s="141">
        <f t="shared" ref="J37:M37" si="38">J26</f>
        <v>9.9999999999999995E-8</v>
      </c>
      <c r="K37" s="141">
        <f t="shared" si="38"/>
        <v>9.9999999999999995E-8</v>
      </c>
      <c r="L37" s="141">
        <f t="shared" si="38"/>
        <v>9.9999999999999995E-8</v>
      </c>
      <c r="M37" s="142">
        <f t="shared" si="38"/>
        <v>0</v>
      </c>
      <c r="N37" s="143">
        <f t="shared" si="29"/>
        <v>0</v>
      </c>
      <c r="O37" s="3">
        <f>O36+Q37</f>
        <v>0</v>
      </c>
      <c r="P37" s="3">
        <f t="shared" si="30"/>
        <v>0</v>
      </c>
      <c r="Q37" s="3">
        <f t="shared" si="35"/>
        <v>0</v>
      </c>
      <c r="R37" s="10">
        <f>IF(O37&gt;0.25,0,1)</f>
        <v>1</v>
      </c>
      <c r="S37" s="11">
        <f t="shared" si="31"/>
        <v>1</v>
      </c>
      <c r="T37" s="42">
        <f>IF(S37*M37&gt;0.1-T36-T35-T34-T33,0.1-T36-T35-T34-T33,S37*M37)</f>
        <v>0</v>
      </c>
      <c r="U37" s="42">
        <f>(M33+M34+M35+M36+M37)/M38</f>
        <v>0</v>
      </c>
      <c r="V37" s="43">
        <f>IF(U37&lt;(0.5),1,0)</f>
        <v>1</v>
      </c>
      <c r="W37" s="43">
        <f>IF(V37+V36=1,0.5*M38-M36-M35-M34-M33,M37*V37)</f>
        <v>0</v>
      </c>
      <c r="X37" s="42">
        <f t="shared" si="32"/>
        <v>0</v>
      </c>
      <c r="Y37" s="42">
        <f t="shared" si="36"/>
        <v>0</v>
      </c>
      <c r="Z37" s="46">
        <f>N37*K37*L37*T37/1000</f>
        <v>0</v>
      </c>
      <c r="AA37" s="46">
        <f t="shared" si="33"/>
        <v>0</v>
      </c>
      <c r="AB37" s="47"/>
      <c r="AC37" s="60"/>
      <c r="AD37" s="21"/>
    </row>
    <row r="38" spans="1:30" x14ac:dyDescent="0.25">
      <c r="A38" s="1">
        <v>142</v>
      </c>
      <c r="B38" s="1" t="s">
        <v>33</v>
      </c>
      <c r="D38" s="21"/>
      <c r="E38" s="21"/>
      <c r="F38" s="21"/>
      <c r="H38" s="55"/>
      <c r="I38" s="55"/>
      <c r="J38" s="56"/>
      <c r="K38" s="57"/>
      <c r="L38" s="56"/>
      <c r="M38" s="137">
        <f>SUM(M33:M37)+0.00000000000000001</f>
        <v>1.0000000000000001E-17</v>
      </c>
      <c r="N38" s="49">
        <f>N33</f>
        <v>0</v>
      </c>
      <c r="O38" s="57"/>
      <c r="P38" s="137">
        <f>SUM(P33:P37)</f>
        <v>0</v>
      </c>
      <c r="Q38" s="137">
        <f>SUM(Q33:Q37)</f>
        <v>0</v>
      </c>
      <c r="R38" s="57"/>
      <c r="S38" s="57"/>
      <c r="T38" s="137">
        <f>SUM(T33:T37)</f>
        <v>0</v>
      </c>
      <c r="U38" s="137"/>
      <c r="V38" s="138">
        <f>W38/M38</f>
        <v>0</v>
      </c>
      <c r="W38" s="137">
        <f>SUM(W33:W37)</f>
        <v>0</v>
      </c>
      <c r="X38" s="137">
        <f>SUM(X33:X37)</f>
        <v>0</v>
      </c>
      <c r="Y38" s="137"/>
      <c r="Z38" s="58">
        <f>SUM(Z33:Z37)</f>
        <v>0</v>
      </c>
      <c r="AA38" s="58">
        <f>IF(N38&gt;0,Z38/N38,0)</f>
        <v>0</v>
      </c>
      <c r="AB38" s="58">
        <f>Z38/$L$5</f>
        <v>0</v>
      </c>
      <c r="AC38" s="60"/>
      <c r="AD38" s="21"/>
    </row>
    <row r="39" spans="1:30" ht="15.75" thickBot="1" x14ac:dyDescent="0.3">
      <c r="A39" s="1">
        <v>143</v>
      </c>
      <c r="B39" s="1" t="s">
        <v>34</v>
      </c>
      <c r="D39" s="21"/>
      <c r="E39" s="21"/>
      <c r="F39" s="21"/>
      <c r="H39" s="60"/>
      <c r="I39" s="61"/>
      <c r="J39" s="62"/>
      <c r="K39" s="63"/>
      <c r="L39" s="62"/>
      <c r="M39" s="3"/>
      <c r="N39" s="2"/>
      <c r="O39" s="63"/>
      <c r="P39" s="3"/>
      <c r="Q39" s="3"/>
      <c r="R39" s="63"/>
      <c r="S39" s="63"/>
      <c r="T39" s="3"/>
      <c r="U39" s="3"/>
      <c r="V39" s="11"/>
      <c r="W39" s="3"/>
      <c r="X39" s="3"/>
      <c r="Y39" s="36"/>
      <c r="Z39" s="9"/>
      <c r="AA39" s="9"/>
      <c r="AB39" s="9"/>
      <c r="AC39" s="60"/>
      <c r="AD39" s="21"/>
    </row>
    <row r="40" spans="1:30" ht="14.45" customHeight="1" thickBot="1" x14ac:dyDescent="0.3">
      <c r="A40" s="1">
        <v>144</v>
      </c>
      <c r="B40" s="1" t="s">
        <v>35</v>
      </c>
      <c r="D40" s="21"/>
      <c r="E40" s="151" t="s">
        <v>135</v>
      </c>
      <c r="F40" s="21"/>
      <c r="H40" s="55"/>
      <c r="I40" s="150" t="s">
        <v>199</v>
      </c>
      <c r="J40" s="51"/>
      <c r="K40" s="51"/>
      <c r="L40" s="51"/>
      <c r="M40" s="51"/>
      <c r="N40" s="51"/>
      <c r="O40" s="49"/>
      <c r="P40" s="49"/>
      <c r="Q40" s="49"/>
      <c r="R40" s="145">
        <v>1</v>
      </c>
      <c r="S40" s="146"/>
      <c r="T40" s="49"/>
      <c r="U40" s="49"/>
      <c r="V40" s="49"/>
      <c r="W40" s="49"/>
      <c r="X40" s="49"/>
      <c r="Y40" s="134" t="str">
        <f>I40</f>
        <v>naam constructie 3</v>
      </c>
      <c r="Z40" s="72">
        <f>Z46+Z53</f>
        <v>0</v>
      </c>
      <c r="AA40" s="72">
        <f>AA46+AA53</f>
        <v>0</v>
      </c>
      <c r="AB40" s="72">
        <f>AB46+AB53</f>
        <v>0</v>
      </c>
      <c r="AC40" s="60"/>
      <c r="AD40" s="21"/>
    </row>
    <row r="41" spans="1:30" x14ac:dyDescent="0.25">
      <c r="A41" s="1">
        <v>145</v>
      </c>
      <c r="B41" s="1" t="s">
        <v>36</v>
      </c>
      <c r="D41" s="21"/>
      <c r="E41" s="151"/>
      <c r="F41" s="21"/>
      <c r="H41" s="126"/>
      <c r="I41" s="135" cm="1">
        <f t="array" ref="I41">_xlfn.XLOOKUP(H41,MateriaalDatabank!$A$1:A330,MateriaalDatabank!$B$1:B330,0.0000001)</f>
        <v>0</v>
      </c>
      <c r="J41" s="135" cm="1">
        <f t="array" ref="J41">_xlfn.XLOOKUP(I41,MateriaalDatabank!$B$1:B330,MateriaalDatabank!$C$1:C330,0.0000001)</f>
        <v>9.9999999999999995E-8</v>
      </c>
      <c r="K41" s="135" cm="1">
        <f t="array" ref="K41">_xlfn.XLOOKUP(I41,MateriaalDatabank!$B$1:B330,MateriaalDatabank!$D$1:D330,0.0000001)</f>
        <v>9.9999999999999995E-8</v>
      </c>
      <c r="L41" s="135" cm="1">
        <f t="array" ref="L41">_xlfn.XLOOKUP(I41,MateriaalDatabank!$B$1:B330,MateriaalDatabank!$E$1:E330,0.0000001)</f>
        <v>9.9999999999999995E-8</v>
      </c>
      <c r="M41" s="69"/>
      <c r="N41" s="71"/>
      <c r="O41" s="36">
        <f>Q41</f>
        <v>0</v>
      </c>
      <c r="P41" s="36">
        <f>IF(S41&gt;0,S41*M41,0)</f>
        <v>0</v>
      </c>
      <c r="Q41" s="36">
        <f>IF(M41&gt;0,M41/J41,0)</f>
        <v>0</v>
      </c>
      <c r="R41" s="37">
        <f>IF(O41&gt;0.25,0,1)</f>
        <v>1</v>
      </c>
      <c r="S41" s="38">
        <f>IF((R41+R40)=1,((0.25-O40)*J41)/M41,R41)</f>
        <v>1</v>
      </c>
      <c r="T41" s="40">
        <f>IF(S41*M41&gt;0.1,0.1,S41*M41)</f>
        <v>0</v>
      </c>
      <c r="U41" s="40">
        <f>M41/M46</f>
        <v>0</v>
      </c>
      <c r="V41" s="41">
        <f>IF(U41&lt;(0.5),1,0)</f>
        <v>1</v>
      </c>
      <c r="W41" s="41">
        <f>IF(V41+V40=0,0.5*M46,M41*V41)</f>
        <v>0</v>
      </c>
      <c r="X41" s="40">
        <f>IF(J41&gt;0,T41/J41,0)</f>
        <v>0</v>
      </c>
      <c r="Y41" s="40">
        <f>MIN(W41,T41)</f>
        <v>0</v>
      </c>
      <c r="Z41" s="44">
        <f>N41*K41*L41*T41/1000</f>
        <v>0</v>
      </c>
      <c r="AA41" s="44">
        <f>IF(N41&gt;0,Z41/N41,0)</f>
        <v>0</v>
      </c>
      <c r="AB41" s="45"/>
      <c r="AC41" s="60"/>
      <c r="AD41" s="21"/>
    </row>
    <row r="42" spans="1:30" x14ac:dyDescent="0.25">
      <c r="A42" s="1">
        <v>146</v>
      </c>
      <c r="B42" s="1" t="s">
        <v>37</v>
      </c>
      <c r="D42" s="21"/>
      <c r="E42" s="151"/>
      <c r="F42" s="21"/>
      <c r="H42" s="126"/>
      <c r="I42" s="135" cm="1">
        <f t="array" ref="I42">_xlfn.XLOOKUP(H42,MateriaalDatabank!$A$1:A331,MateriaalDatabank!$B$1:B331,0.0000001)</f>
        <v>0</v>
      </c>
      <c r="J42" s="135" cm="1">
        <f t="array" ref="J42">_xlfn.XLOOKUP(I42,MateriaalDatabank!$B$1:B331,MateriaalDatabank!$C$1:C331,0.0000001)</f>
        <v>9.9999999999999995E-8</v>
      </c>
      <c r="K42" s="135" cm="1">
        <f t="array" ref="K42">_xlfn.XLOOKUP(I42,MateriaalDatabank!$B$1:B331,MateriaalDatabank!$D$1:D331,0.0000001)</f>
        <v>9.9999999999999995E-8</v>
      </c>
      <c r="L42" s="135" cm="1">
        <f t="array" ref="L42">_xlfn.XLOOKUP(I42,MateriaalDatabank!$B$1:B331,MateriaalDatabank!$E$1:E331,0.0000001)</f>
        <v>9.9999999999999995E-8</v>
      </c>
      <c r="M42" s="69"/>
      <c r="N42" s="136">
        <f>N41</f>
        <v>0</v>
      </c>
      <c r="O42" s="3">
        <f>O41+Q42</f>
        <v>0</v>
      </c>
      <c r="P42" s="3">
        <f t="shared" ref="P42:P45" si="39">IF(S42&gt;0,S42*M42,0)</f>
        <v>0</v>
      </c>
      <c r="Q42" s="3">
        <f>IF(M42&gt;0,M42/J42,0)</f>
        <v>0</v>
      </c>
      <c r="R42" s="10">
        <f>IF(O42&gt;0.25,0,1)</f>
        <v>1</v>
      </c>
      <c r="S42" s="11">
        <f t="shared" ref="S42:S45" si="40">IF((R42+R41)=1,((0.25-O41)*J42)/M42,R42)</f>
        <v>1</v>
      </c>
      <c r="T42" s="42">
        <f>IF(S42*M42&gt;0.1-T41,0.1-T41,S42*M42)</f>
        <v>0</v>
      </c>
      <c r="U42" s="42">
        <f>(M41+M42)/M46</f>
        <v>0</v>
      </c>
      <c r="V42" s="43">
        <f>IF(U42&lt;(0.5),1,0)</f>
        <v>1</v>
      </c>
      <c r="W42" s="43">
        <f>IF(V42+V41=1,0.5*M46-M41,M42*V42)</f>
        <v>0</v>
      </c>
      <c r="X42" s="42">
        <f t="shared" ref="X42:X45" si="41">IF(J42&gt;0,T42/J42,0)</f>
        <v>0</v>
      </c>
      <c r="Y42" s="42">
        <f>MIN(W42,T42)</f>
        <v>0</v>
      </c>
      <c r="Z42" s="46">
        <f>N42*K42*L42*T42/1000</f>
        <v>0</v>
      </c>
      <c r="AA42" s="46">
        <f t="shared" ref="AA42:AA45" si="42">IF(N42&gt;0,Z42/N42,0)</f>
        <v>0</v>
      </c>
      <c r="AB42" s="47"/>
      <c r="AC42" s="60"/>
      <c r="AD42" s="21"/>
    </row>
    <row r="43" spans="1:30" x14ac:dyDescent="0.25">
      <c r="A43" s="1">
        <v>147</v>
      </c>
      <c r="B43" s="1" t="s">
        <v>38</v>
      </c>
      <c r="D43" s="21"/>
      <c r="E43" s="151"/>
      <c r="F43" s="21"/>
      <c r="H43" s="126"/>
      <c r="I43" s="135" cm="1">
        <f t="array" ref="I43">_xlfn.XLOOKUP(H43,MateriaalDatabank!$A$1:A332,MateriaalDatabank!$B$1:B332,0.0000001)</f>
        <v>0</v>
      </c>
      <c r="J43" s="135" cm="1">
        <f t="array" ref="J43">_xlfn.XLOOKUP(I43,MateriaalDatabank!$B$1:B332,MateriaalDatabank!$C$1:C332,0.0000001)</f>
        <v>9.9999999999999995E-8</v>
      </c>
      <c r="K43" s="135" cm="1">
        <f t="array" ref="K43">_xlfn.XLOOKUP(I43,MateriaalDatabank!$B$1:B332,MateriaalDatabank!$D$1:D332,0.0000001)</f>
        <v>9.9999999999999995E-8</v>
      </c>
      <c r="L43" s="135" cm="1">
        <f t="array" ref="L43">_xlfn.XLOOKUP(I43,MateriaalDatabank!$B$1:B332,MateriaalDatabank!$E$1:E332,0.0000001)</f>
        <v>9.9999999999999995E-8</v>
      </c>
      <c r="M43" s="70"/>
      <c r="N43" s="136">
        <f>N42</f>
        <v>0</v>
      </c>
      <c r="O43" s="3">
        <f>O42+Q43</f>
        <v>0</v>
      </c>
      <c r="P43" s="3">
        <f t="shared" si="39"/>
        <v>0</v>
      </c>
      <c r="Q43" s="3">
        <f t="shared" ref="Q43:Q45" si="43">IF(M43&gt;0,M43/J43,0)</f>
        <v>0</v>
      </c>
      <c r="R43" s="10">
        <f>IF(O43&gt;0.25,0,1)</f>
        <v>1</v>
      </c>
      <c r="S43" s="11">
        <f t="shared" si="40"/>
        <v>1</v>
      </c>
      <c r="T43" s="42">
        <f>IF(S43*M43&gt;0.1-T42-T41,0.1-T42-T41,S43*M43)</f>
        <v>0</v>
      </c>
      <c r="U43" s="42">
        <f>(M41+M42+M43)/M46</f>
        <v>0</v>
      </c>
      <c r="V43" s="43">
        <f>IF(U43&lt;(0.5),1,0)</f>
        <v>1</v>
      </c>
      <c r="W43" s="43">
        <f>IF(V43+V42=1,0.5*M46-M42-M41,M43*V43)</f>
        <v>0</v>
      </c>
      <c r="X43" s="42">
        <f t="shared" si="41"/>
        <v>0</v>
      </c>
      <c r="Y43" s="42">
        <f t="shared" ref="Y43:Y45" si="44">MIN(W43,T43)</f>
        <v>0</v>
      </c>
      <c r="Z43" s="46">
        <f>N43*K43*L43*T43/1000</f>
        <v>0</v>
      </c>
      <c r="AA43" s="46">
        <f t="shared" si="42"/>
        <v>0</v>
      </c>
      <c r="AB43" s="47"/>
      <c r="AC43" s="60"/>
      <c r="AD43" s="21"/>
    </row>
    <row r="44" spans="1:30" x14ac:dyDescent="0.25">
      <c r="D44" s="21"/>
      <c r="E44" s="151"/>
      <c r="F44" s="21"/>
      <c r="H44" s="126"/>
      <c r="I44" s="135" cm="1">
        <f t="array" ref="I44">_xlfn.XLOOKUP(H44,MateriaalDatabank!$A$1:A333,MateriaalDatabank!$B$1:B333,0.0000001)</f>
        <v>0</v>
      </c>
      <c r="J44" s="135" cm="1">
        <f t="array" ref="J44">_xlfn.XLOOKUP(I44,MateriaalDatabank!$B$1:B333,MateriaalDatabank!$C$1:C333,0.0000001)</f>
        <v>9.9999999999999995E-8</v>
      </c>
      <c r="K44" s="135" cm="1">
        <f t="array" ref="K44">_xlfn.XLOOKUP(I44,MateriaalDatabank!$B$1:B333,MateriaalDatabank!$D$1:D333,0.0000001)</f>
        <v>9.9999999999999995E-8</v>
      </c>
      <c r="L44" s="135" cm="1">
        <f t="array" ref="L44">_xlfn.XLOOKUP(I44,MateriaalDatabank!$B$1:B333,MateriaalDatabank!$E$1:E333,0.0000001)</f>
        <v>9.9999999999999995E-8</v>
      </c>
      <c r="M44" s="70"/>
      <c r="N44" s="136">
        <f t="shared" ref="N44:N45" si="45">N43</f>
        <v>0</v>
      </c>
      <c r="O44" s="3">
        <f>O43+Q44</f>
        <v>0</v>
      </c>
      <c r="P44" s="3">
        <f t="shared" si="39"/>
        <v>0</v>
      </c>
      <c r="Q44" s="3">
        <f t="shared" si="43"/>
        <v>0</v>
      </c>
      <c r="R44" s="10">
        <f>IF(O44&gt;0.25,0,1)</f>
        <v>1</v>
      </c>
      <c r="S44" s="11">
        <f t="shared" si="40"/>
        <v>1</v>
      </c>
      <c r="T44" s="42">
        <f>IF(S44*M44&gt;0.1-T43-T42-T41,0.1-T43-T42-T41,S44*M44)</f>
        <v>0</v>
      </c>
      <c r="U44" s="42">
        <f>(M41+M42+M43+M44)/M46</f>
        <v>0</v>
      </c>
      <c r="V44" s="43">
        <f>IF(U44&lt;(0.5),1,0)</f>
        <v>1</v>
      </c>
      <c r="W44" s="43">
        <f>IF(V44+V43=1,0.5*M46-M43-M42-M41,M44*V44)</f>
        <v>0</v>
      </c>
      <c r="X44" s="42">
        <f t="shared" si="41"/>
        <v>0</v>
      </c>
      <c r="Y44" s="42">
        <f t="shared" si="44"/>
        <v>0</v>
      </c>
      <c r="Z44" s="46">
        <f>N44*K44*L44*T44/1000</f>
        <v>0</v>
      </c>
      <c r="AA44" s="46">
        <f t="shared" si="42"/>
        <v>0</v>
      </c>
      <c r="AB44" s="47"/>
      <c r="AC44" s="60"/>
      <c r="AD44" s="21"/>
    </row>
    <row r="45" spans="1:30" x14ac:dyDescent="0.25">
      <c r="A45" s="73" t="s">
        <v>148</v>
      </c>
      <c r="B45" s="73"/>
      <c r="D45" s="21"/>
      <c r="E45" s="151"/>
      <c r="F45" s="21"/>
      <c r="H45" s="126"/>
      <c r="I45" s="135" cm="1">
        <f t="array" ref="I45">_xlfn.XLOOKUP(H45,MateriaalDatabank!$A$1:A334,MateriaalDatabank!$B$1:B334,0.0000001)</f>
        <v>0</v>
      </c>
      <c r="J45" s="135" cm="1">
        <f t="array" ref="J45">_xlfn.XLOOKUP(I45,MateriaalDatabank!$B$1:B334,MateriaalDatabank!$C$1:C334,0.0000001)</f>
        <v>9.9999999999999995E-8</v>
      </c>
      <c r="K45" s="135" cm="1">
        <f t="array" ref="K45">_xlfn.XLOOKUP(I45,MateriaalDatabank!$B$1:B334,MateriaalDatabank!$D$1:D334,0.0000001)</f>
        <v>9.9999999999999995E-8</v>
      </c>
      <c r="L45" s="135" cm="1">
        <f t="array" ref="L45">_xlfn.XLOOKUP(I45,MateriaalDatabank!$B$1:B334,MateriaalDatabank!$E$1:E334,0.0000001)</f>
        <v>9.9999999999999995E-8</v>
      </c>
      <c r="M45" s="70"/>
      <c r="N45" s="136">
        <f t="shared" si="45"/>
        <v>0</v>
      </c>
      <c r="O45" s="3">
        <f>O44+Q45</f>
        <v>0</v>
      </c>
      <c r="P45" s="3">
        <f t="shared" si="39"/>
        <v>0</v>
      </c>
      <c r="Q45" s="3">
        <f t="shared" si="43"/>
        <v>0</v>
      </c>
      <c r="R45" s="10">
        <f>IF(O45&gt;0.25,0,1)</f>
        <v>1</v>
      </c>
      <c r="S45" s="11">
        <f t="shared" si="40"/>
        <v>1</v>
      </c>
      <c r="T45" s="42">
        <f>IF(S45*M45&gt;0.1-T44-T43-T42-T41,0.1-T44-T43-T42-T41,S45*M45)</f>
        <v>0</v>
      </c>
      <c r="U45" s="42">
        <f>(M41+M42+M43+M44+M45)/M46</f>
        <v>0</v>
      </c>
      <c r="V45" s="43">
        <f>IF(U45&lt;(0.5),1,0)</f>
        <v>1</v>
      </c>
      <c r="W45" s="43">
        <f>IF(V45+V44=1,0.5*M46-M44-M43-M42-M41,M45*V45)</f>
        <v>0</v>
      </c>
      <c r="X45" s="42">
        <f t="shared" si="41"/>
        <v>0</v>
      </c>
      <c r="Y45" s="42">
        <f t="shared" si="44"/>
        <v>0</v>
      </c>
      <c r="Z45" s="46">
        <f>N45*K45*L45*T45/1000</f>
        <v>0</v>
      </c>
      <c r="AA45" s="46">
        <f t="shared" si="42"/>
        <v>0</v>
      </c>
      <c r="AB45" s="47"/>
      <c r="AC45" s="60"/>
      <c r="AD45" s="21"/>
    </row>
    <row r="46" spans="1:30" x14ac:dyDescent="0.25">
      <c r="A46" s="1">
        <v>150</v>
      </c>
      <c r="B46" s="1" t="s">
        <v>31</v>
      </c>
      <c r="D46" s="21"/>
      <c r="E46" s="18"/>
      <c r="F46" s="21"/>
      <c r="H46" s="55"/>
      <c r="I46" s="55"/>
      <c r="J46" s="56"/>
      <c r="K46" s="57"/>
      <c r="L46" s="56"/>
      <c r="M46" s="137">
        <f>SUM(M41:M45)+0.00000000000000001</f>
        <v>1.0000000000000001E-17</v>
      </c>
      <c r="N46" s="49">
        <f>N41</f>
        <v>0</v>
      </c>
      <c r="O46" s="57"/>
      <c r="P46" s="137">
        <f>SUM(P41:P45)</f>
        <v>0</v>
      </c>
      <c r="Q46" s="137">
        <f>SUM(Q41:Q45)</f>
        <v>0</v>
      </c>
      <c r="R46" s="57"/>
      <c r="S46" s="57"/>
      <c r="T46" s="137">
        <f>SUM(T41:T45)</f>
        <v>0</v>
      </c>
      <c r="U46" s="137"/>
      <c r="V46" s="138">
        <f>W46/M46</f>
        <v>0</v>
      </c>
      <c r="W46" s="137">
        <f>SUM(W41:W45)</f>
        <v>0</v>
      </c>
      <c r="X46" s="137">
        <f>SUM(X41:X45)</f>
        <v>0</v>
      </c>
      <c r="Y46" s="137"/>
      <c r="Z46" s="58">
        <f>SUM(Z41:Z45)</f>
        <v>0</v>
      </c>
      <c r="AA46" s="58">
        <f>IF(N46&gt;0,Z46/N46,0)</f>
        <v>0</v>
      </c>
      <c r="AB46" s="58">
        <f>Z46/$L$5</f>
        <v>0</v>
      </c>
      <c r="AC46" s="60"/>
      <c r="AD46" s="21"/>
    </row>
    <row r="47" spans="1:30" ht="14.45" customHeight="1" x14ac:dyDescent="0.25">
      <c r="A47" s="1">
        <v>151</v>
      </c>
      <c r="B47" s="1" t="s">
        <v>32</v>
      </c>
      <c r="D47" s="21"/>
      <c r="E47" s="151" t="s">
        <v>136</v>
      </c>
      <c r="F47" s="83" t="s">
        <v>163</v>
      </c>
      <c r="H47" s="127">
        <v>0</v>
      </c>
      <c r="I47" s="52" t="str">
        <f>I40 &amp; " &lt;-- onderzijde (gespiegelde weergave)"</f>
        <v>naam constructie 3 &lt;-- onderzijde (gespiegelde weergave)</v>
      </c>
      <c r="J47" s="53"/>
      <c r="K47" s="53"/>
      <c r="L47" s="53"/>
      <c r="M47" s="53"/>
      <c r="N47" s="54"/>
      <c r="O47" s="2"/>
      <c r="P47" s="2"/>
      <c r="Q47" s="2"/>
      <c r="R47" s="139">
        <v>1</v>
      </c>
      <c r="S47" s="10"/>
      <c r="T47" s="42"/>
      <c r="U47" s="42"/>
      <c r="V47" s="43"/>
      <c r="W47" s="43"/>
      <c r="X47" s="42"/>
      <c r="Y47" s="42"/>
      <c r="Z47" s="48"/>
      <c r="AA47" s="48"/>
      <c r="AB47" s="48"/>
      <c r="AC47" s="60"/>
      <c r="AD47" s="21"/>
    </row>
    <row r="48" spans="1:30" x14ac:dyDescent="0.25">
      <c r="D48" s="21"/>
      <c r="E48" s="151"/>
      <c r="F48" s="21"/>
      <c r="H48" s="53"/>
      <c r="I48" s="140">
        <f>I45</f>
        <v>0</v>
      </c>
      <c r="J48" s="141">
        <f t="shared" ref="J48:M48" si="46">J45</f>
        <v>9.9999999999999995E-8</v>
      </c>
      <c r="K48" s="141">
        <f t="shared" si="46"/>
        <v>9.9999999999999995E-8</v>
      </c>
      <c r="L48" s="141">
        <f t="shared" si="46"/>
        <v>9.9999999999999995E-8</v>
      </c>
      <c r="M48" s="142">
        <f t="shared" si="46"/>
        <v>0</v>
      </c>
      <c r="N48" s="143">
        <f>N41*$H$47</f>
        <v>0</v>
      </c>
      <c r="O48" s="3">
        <f>Q48</f>
        <v>0</v>
      </c>
      <c r="P48" s="3">
        <f>IF(S48&gt;0,S48*M48,0)</f>
        <v>0</v>
      </c>
      <c r="Q48" s="3">
        <f>IF(M48&gt;0,M48/J48,0)</f>
        <v>0</v>
      </c>
      <c r="R48" s="10">
        <f>IF(O48&gt;0.25,0,1)</f>
        <v>1</v>
      </c>
      <c r="S48" s="11">
        <f>IF((R48+R47)=1,((0.25-O47)*J48)/M48,R48)</f>
        <v>1</v>
      </c>
      <c r="T48" s="42">
        <f>IF(S48*M48&gt;0.1,0.1,S48*M48)</f>
        <v>0</v>
      </c>
      <c r="U48" s="42">
        <f>M48/M53</f>
        <v>0</v>
      </c>
      <c r="V48" s="43">
        <f>IF(U48&lt;(0.5),1,0)</f>
        <v>1</v>
      </c>
      <c r="W48" s="41">
        <f>IF(V48+V47=0,0.5*M53,M48*V48)</f>
        <v>0</v>
      </c>
      <c r="X48" s="42">
        <f>IF(J48&gt;0,T48/J48,0)</f>
        <v>0</v>
      </c>
      <c r="Y48" s="42">
        <f>MIN(W48,T48)</f>
        <v>0</v>
      </c>
      <c r="Z48" s="46">
        <f>N48*K48*L48*T48/1000</f>
        <v>0</v>
      </c>
      <c r="AA48" s="46">
        <f>IF(N48&gt;0,Z48/N48,0)</f>
        <v>0</v>
      </c>
      <c r="AB48" s="47"/>
      <c r="AC48" s="60"/>
      <c r="AD48" s="21"/>
    </row>
    <row r="49" spans="1:30" x14ac:dyDescent="0.25">
      <c r="A49" s="73" t="s">
        <v>149</v>
      </c>
      <c r="B49" s="73"/>
      <c r="D49" s="21"/>
      <c r="E49" s="151"/>
      <c r="F49" s="21"/>
      <c r="H49" s="144"/>
      <c r="I49" s="140">
        <f>I44</f>
        <v>0</v>
      </c>
      <c r="J49" s="141">
        <f t="shared" ref="J49:M49" si="47">J44</f>
        <v>9.9999999999999995E-8</v>
      </c>
      <c r="K49" s="141">
        <f t="shared" si="47"/>
        <v>9.9999999999999995E-8</v>
      </c>
      <c r="L49" s="141">
        <f t="shared" si="47"/>
        <v>9.9999999999999995E-8</v>
      </c>
      <c r="M49" s="142">
        <f t="shared" si="47"/>
        <v>0</v>
      </c>
      <c r="N49" s="143">
        <f t="shared" ref="N49:N52" si="48">N42*$H$47</f>
        <v>0</v>
      </c>
      <c r="O49" s="3">
        <f>O48+Q49</f>
        <v>0</v>
      </c>
      <c r="P49" s="3">
        <f t="shared" ref="P49:P52" si="49">IF(S49&gt;0,S49*M49,0)</f>
        <v>0</v>
      </c>
      <c r="Q49" s="3">
        <f>IF(M49&gt;0,M49/J49,0)</f>
        <v>0</v>
      </c>
      <c r="R49" s="10">
        <f>IF(O49&gt;0.25,0,1)</f>
        <v>1</v>
      </c>
      <c r="S49" s="11">
        <f t="shared" ref="S49:S52" si="50">IF((R49+R48)=1,((0.25-O48)*J49)/M49,R49)</f>
        <v>1</v>
      </c>
      <c r="T49" s="42">
        <f>IF(S49*M49&gt;0.1-T48,0.1-T48,S49*M49)</f>
        <v>0</v>
      </c>
      <c r="U49" s="42">
        <f>(M48+M49)/M53</f>
        <v>0</v>
      </c>
      <c r="V49" s="43">
        <f>IF(U49&lt;(0.5),1,0)</f>
        <v>1</v>
      </c>
      <c r="W49" s="43">
        <f>IF(V49+V48=1,0.5*M53-M48,M49*V49)</f>
        <v>0</v>
      </c>
      <c r="X49" s="42">
        <f t="shared" ref="X49:X52" si="51">IF(J49&gt;0,T49/J49,0)</f>
        <v>0</v>
      </c>
      <c r="Y49" s="42">
        <f>MIN(W49,T49)</f>
        <v>0</v>
      </c>
      <c r="Z49" s="46">
        <f>N49*K49*L49*T49/1000</f>
        <v>0</v>
      </c>
      <c r="AA49" s="46">
        <f t="shared" ref="AA49:AA52" si="52">IF(N49&gt;0,Z49/N49,0)</f>
        <v>0</v>
      </c>
      <c r="AB49" s="47"/>
      <c r="AC49" s="60"/>
      <c r="AD49" s="21"/>
    </row>
    <row r="50" spans="1:30" x14ac:dyDescent="0.25">
      <c r="A50" s="1">
        <v>160</v>
      </c>
      <c r="B50" s="1" t="s">
        <v>40</v>
      </c>
      <c r="D50" s="21"/>
      <c r="E50" s="151"/>
      <c r="F50" s="21"/>
      <c r="H50" s="144"/>
      <c r="I50" s="140">
        <f>I43</f>
        <v>0</v>
      </c>
      <c r="J50" s="141">
        <f t="shared" ref="J50:M50" si="53">J43</f>
        <v>9.9999999999999995E-8</v>
      </c>
      <c r="K50" s="141">
        <f t="shared" si="53"/>
        <v>9.9999999999999995E-8</v>
      </c>
      <c r="L50" s="141">
        <f t="shared" si="53"/>
        <v>9.9999999999999995E-8</v>
      </c>
      <c r="M50" s="142">
        <f t="shared" si="53"/>
        <v>0</v>
      </c>
      <c r="N50" s="143">
        <f t="shared" si="48"/>
        <v>0</v>
      </c>
      <c r="O50" s="3">
        <f>O49+Q50</f>
        <v>0</v>
      </c>
      <c r="P50" s="3">
        <f t="shared" si="49"/>
        <v>0</v>
      </c>
      <c r="Q50" s="3">
        <f t="shared" ref="Q50:Q52" si="54">IF(M50&gt;0,M50/J50,0)</f>
        <v>0</v>
      </c>
      <c r="R50" s="10">
        <f>IF(O50&gt;0.25,0,1)</f>
        <v>1</v>
      </c>
      <c r="S50" s="11">
        <f t="shared" si="50"/>
        <v>1</v>
      </c>
      <c r="T50" s="42">
        <f>IF(S50*M50&gt;0.1-T49-T48,0.1-T49-T48,S50*M50)</f>
        <v>0</v>
      </c>
      <c r="U50" s="42">
        <f>(M48+M49+M50)/M53</f>
        <v>0</v>
      </c>
      <c r="V50" s="43">
        <f>IF(U50&lt;(0.5),1,0)</f>
        <v>1</v>
      </c>
      <c r="W50" s="43">
        <f>IF(V50+V49=1,0.5*M53-M49-M48,M50*V50)</f>
        <v>0</v>
      </c>
      <c r="X50" s="42">
        <f t="shared" si="51"/>
        <v>0</v>
      </c>
      <c r="Y50" s="42">
        <f t="shared" ref="Y50:Y52" si="55">MIN(W50,T50)</f>
        <v>0</v>
      </c>
      <c r="Z50" s="46">
        <f>N50*K50*L50*T50/1000</f>
        <v>0</v>
      </c>
      <c r="AA50" s="46">
        <f t="shared" si="52"/>
        <v>0</v>
      </c>
      <c r="AB50" s="47"/>
      <c r="AC50" s="60"/>
      <c r="AD50" s="21"/>
    </row>
    <row r="51" spans="1:30" x14ac:dyDescent="0.25">
      <c r="A51" s="1">
        <v>161</v>
      </c>
      <c r="B51" s="1" t="s">
        <v>41</v>
      </c>
      <c r="D51" s="21"/>
      <c r="E51" s="151"/>
      <c r="F51" s="21"/>
      <c r="H51" s="144"/>
      <c r="I51" s="140">
        <f>I42</f>
        <v>0</v>
      </c>
      <c r="J51" s="141">
        <f t="shared" ref="J51:M51" si="56">J42</f>
        <v>9.9999999999999995E-8</v>
      </c>
      <c r="K51" s="141">
        <f t="shared" si="56"/>
        <v>9.9999999999999995E-8</v>
      </c>
      <c r="L51" s="141">
        <f t="shared" si="56"/>
        <v>9.9999999999999995E-8</v>
      </c>
      <c r="M51" s="142">
        <f t="shared" si="56"/>
        <v>0</v>
      </c>
      <c r="N51" s="143">
        <f t="shared" si="48"/>
        <v>0</v>
      </c>
      <c r="O51" s="3">
        <f>O50+Q51</f>
        <v>0</v>
      </c>
      <c r="P51" s="3">
        <f t="shared" si="49"/>
        <v>0</v>
      </c>
      <c r="Q51" s="3">
        <f t="shared" si="54"/>
        <v>0</v>
      </c>
      <c r="R51" s="10">
        <f>IF(O51&gt;0.25,0,1)</f>
        <v>1</v>
      </c>
      <c r="S51" s="11">
        <f t="shared" si="50"/>
        <v>1</v>
      </c>
      <c r="T51" s="42">
        <f>IF(S51*M51&gt;0.1-T50-T49-T48,0.1-T50-T49-T48,S51*M51)</f>
        <v>0</v>
      </c>
      <c r="U51" s="42">
        <f>(M48+M49+M50+M51)/M53</f>
        <v>0</v>
      </c>
      <c r="V51" s="43">
        <f>IF(U51&lt;(0.5),1,0)</f>
        <v>1</v>
      </c>
      <c r="W51" s="43">
        <f>IF(V51+V50=1,0.5*M53-M50-M49-M48,M51*V51)</f>
        <v>0</v>
      </c>
      <c r="X51" s="42">
        <f t="shared" si="51"/>
        <v>0</v>
      </c>
      <c r="Y51" s="42">
        <f t="shared" si="55"/>
        <v>0</v>
      </c>
      <c r="Z51" s="46">
        <f>N51*K51*L51*T51/1000</f>
        <v>0</v>
      </c>
      <c r="AA51" s="46">
        <f t="shared" si="52"/>
        <v>0</v>
      </c>
      <c r="AB51" s="47"/>
      <c r="AC51" s="60"/>
      <c r="AD51" s="21"/>
    </row>
    <row r="52" spans="1:30" x14ac:dyDescent="0.25">
      <c r="A52" s="1">
        <v>162</v>
      </c>
      <c r="B52" s="1" t="s">
        <v>42</v>
      </c>
      <c r="D52" s="21"/>
      <c r="E52" s="151"/>
      <c r="F52" s="21"/>
      <c r="H52" s="144"/>
      <c r="I52" s="140">
        <f>I41</f>
        <v>0</v>
      </c>
      <c r="J52" s="141">
        <f t="shared" ref="J52:M52" si="57">J41</f>
        <v>9.9999999999999995E-8</v>
      </c>
      <c r="K52" s="141">
        <f t="shared" si="57"/>
        <v>9.9999999999999995E-8</v>
      </c>
      <c r="L52" s="141">
        <f t="shared" si="57"/>
        <v>9.9999999999999995E-8</v>
      </c>
      <c r="M52" s="142">
        <f t="shared" si="57"/>
        <v>0</v>
      </c>
      <c r="N52" s="143">
        <f t="shared" si="48"/>
        <v>0</v>
      </c>
      <c r="O52" s="3">
        <f>O51+Q52</f>
        <v>0</v>
      </c>
      <c r="P52" s="3">
        <f t="shared" si="49"/>
        <v>0</v>
      </c>
      <c r="Q52" s="3">
        <f t="shared" si="54"/>
        <v>0</v>
      </c>
      <c r="R52" s="10">
        <f>IF(O52&gt;0.25,0,1)</f>
        <v>1</v>
      </c>
      <c r="S52" s="11">
        <f t="shared" si="50"/>
        <v>1</v>
      </c>
      <c r="T52" s="42">
        <f>IF(S52*M52&gt;0.1-T51-T50-T49-T48,0.1-T51-T50-T49-T48,S52*M52)</f>
        <v>0</v>
      </c>
      <c r="U52" s="42">
        <f>(M48+M49+M50+M51+M52)/M53</f>
        <v>0</v>
      </c>
      <c r="V52" s="43">
        <f>IF(U52&lt;(0.5),1,0)</f>
        <v>1</v>
      </c>
      <c r="W52" s="43">
        <f>IF(V52+V51=1,0.5*M53-M51-M50-M49-M48,M52*V52)</f>
        <v>0</v>
      </c>
      <c r="X52" s="42">
        <f t="shared" si="51"/>
        <v>0</v>
      </c>
      <c r="Y52" s="42">
        <f t="shared" si="55"/>
        <v>0</v>
      </c>
      <c r="Z52" s="46">
        <f>N52*K52*L52*T52/1000</f>
        <v>0</v>
      </c>
      <c r="AA52" s="46">
        <f t="shared" si="52"/>
        <v>0</v>
      </c>
      <c r="AB52" s="47"/>
      <c r="AC52" s="60"/>
      <c r="AD52" s="21"/>
    </row>
    <row r="53" spans="1:30" x14ac:dyDescent="0.25">
      <c r="D53" s="21"/>
      <c r="E53" s="21"/>
      <c r="F53" s="21"/>
      <c r="H53" s="55"/>
      <c r="I53" s="55"/>
      <c r="J53" s="56"/>
      <c r="K53" s="57"/>
      <c r="L53" s="56"/>
      <c r="M53" s="137">
        <f>SUM(M48:M52)+0.00000000000000001</f>
        <v>1.0000000000000001E-17</v>
      </c>
      <c r="N53" s="49">
        <f>N48</f>
        <v>0</v>
      </c>
      <c r="O53" s="57"/>
      <c r="P53" s="137">
        <f>SUM(P48:P52)</f>
        <v>0</v>
      </c>
      <c r="Q53" s="137">
        <f>SUM(Q48:Q52)</f>
        <v>0</v>
      </c>
      <c r="R53" s="57"/>
      <c r="S53" s="57"/>
      <c r="T53" s="137">
        <f>SUM(T48:T52)</f>
        <v>0</v>
      </c>
      <c r="U53" s="137"/>
      <c r="V53" s="138">
        <f>W53/M53</f>
        <v>0</v>
      </c>
      <c r="W53" s="137">
        <f>SUM(W48:W52)</f>
        <v>0</v>
      </c>
      <c r="X53" s="137">
        <f>SUM(X48:X52)</f>
        <v>0</v>
      </c>
      <c r="Y53" s="137"/>
      <c r="Z53" s="58">
        <f>SUM(Z48:Z52)</f>
        <v>0</v>
      </c>
      <c r="AA53" s="58">
        <f>IF(N53&gt;0,Z53/N53,0)</f>
        <v>0</v>
      </c>
      <c r="AB53" s="58">
        <f>Z53/$L$5</f>
        <v>0</v>
      </c>
      <c r="AC53" s="60"/>
      <c r="AD53" s="21"/>
    </row>
    <row r="54" spans="1:30" ht="15.75" thickBot="1" x14ac:dyDescent="0.3">
      <c r="A54" s="73" t="s">
        <v>150</v>
      </c>
      <c r="B54" s="73"/>
      <c r="D54" s="21"/>
      <c r="E54" s="21"/>
      <c r="F54" s="21"/>
      <c r="H54" s="60"/>
      <c r="I54" s="61"/>
      <c r="J54" s="62"/>
      <c r="K54" s="63"/>
      <c r="L54" s="62"/>
      <c r="M54" s="3"/>
      <c r="N54" s="2"/>
      <c r="O54" s="63"/>
      <c r="P54" s="3"/>
      <c r="Q54" s="3"/>
      <c r="R54" s="63"/>
      <c r="S54" s="63"/>
      <c r="T54" s="3"/>
      <c r="U54" s="3"/>
      <c r="V54" s="11"/>
      <c r="W54" s="3"/>
      <c r="X54" s="3"/>
      <c r="Y54" s="36"/>
      <c r="Z54" s="9"/>
      <c r="AA54" s="9"/>
      <c r="AB54" s="9"/>
      <c r="AC54" s="60"/>
      <c r="AD54" s="21"/>
    </row>
    <row r="55" spans="1:30" ht="14.45" customHeight="1" thickBot="1" x14ac:dyDescent="0.3">
      <c r="A55" s="1">
        <v>170</v>
      </c>
      <c r="B55" s="1" t="s">
        <v>43</v>
      </c>
      <c r="D55" s="21"/>
      <c r="E55" s="151" t="s">
        <v>135</v>
      </c>
      <c r="F55" s="21"/>
      <c r="H55" s="55"/>
      <c r="I55" s="150" t="s">
        <v>188</v>
      </c>
      <c r="J55" s="51"/>
      <c r="K55" s="51"/>
      <c r="L55" s="51"/>
      <c r="M55" s="51"/>
      <c r="N55" s="51"/>
      <c r="O55" s="49"/>
      <c r="P55" s="49"/>
      <c r="Q55" s="49"/>
      <c r="R55" s="145">
        <v>1</v>
      </c>
      <c r="S55" s="146"/>
      <c r="T55" s="49"/>
      <c r="U55" s="49"/>
      <c r="V55" s="49"/>
      <c r="W55" s="49"/>
      <c r="X55" s="49"/>
      <c r="Y55" s="134" t="str">
        <f>I55</f>
        <v>naam constructie 4</v>
      </c>
      <c r="Z55" s="72">
        <f>Z61+Z68</f>
        <v>0</v>
      </c>
      <c r="AA55" s="72">
        <f>AA61+AA68</f>
        <v>0</v>
      </c>
      <c r="AB55" s="72">
        <f>AB61+AB68</f>
        <v>0</v>
      </c>
      <c r="AC55" s="60"/>
      <c r="AD55" s="21"/>
    </row>
    <row r="56" spans="1:30" x14ac:dyDescent="0.25">
      <c r="A56" s="1">
        <v>171</v>
      </c>
      <c r="B56" s="1" t="s">
        <v>44</v>
      </c>
      <c r="D56" s="21"/>
      <c r="E56" s="151"/>
      <c r="F56" s="21"/>
      <c r="H56" s="126"/>
      <c r="I56" s="135" cm="1">
        <f t="array" ref="I56">_xlfn.XLOOKUP(H56,MateriaalDatabank!$A$1:A345,MateriaalDatabank!$B$1:B345,0.0000001)</f>
        <v>0</v>
      </c>
      <c r="J56" s="135" cm="1">
        <f t="array" ref="J56">_xlfn.XLOOKUP(I56,MateriaalDatabank!$B$1:B345,MateriaalDatabank!$C$1:C345,0.0000001)</f>
        <v>9.9999999999999995E-8</v>
      </c>
      <c r="K56" s="135" cm="1">
        <f t="array" ref="K56">_xlfn.XLOOKUP(I56,MateriaalDatabank!$B$1:B345,MateriaalDatabank!$D$1:D345,0.0000001)</f>
        <v>9.9999999999999995E-8</v>
      </c>
      <c r="L56" s="135" cm="1">
        <f t="array" ref="L56">_xlfn.XLOOKUP(I56,MateriaalDatabank!$B$1:B345,MateriaalDatabank!$E$1:E345,0.0000001)</f>
        <v>9.9999999999999995E-8</v>
      </c>
      <c r="M56" s="69"/>
      <c r="N56" s="71"/>
      <c r="O56" s="36">
        <f>Q56</f>
        <v>0</v>
      </c>
      <c r="P56" s="36">
        <f>IF(S56&gt;0,S56*M56,0)</f>
        <v>0</v>
      </c>
      <c r="Q56" s="36">
        <f>IF(M56&gt;0,M56/J56,0)</f>
        <v>0</v>
      </c>
      <c r="R56" s="37">
        <f>IF(O56&gt;0.25,0,1)</f>
        <v>1</v>
      </c>
      <c r="S56" s="38">
        <f>IF((R56+R55)=1,((0.25-O55)*J56)/M56,R56)</f>
        <v>1</v>
      </c>
      <c r="T56" s="40">
        <f>IF(S56*M56&gt;0.1,0.1,S56*M56)</f>
        <v>0</v>
      </c>
      <c r="U56" s="40">
        <f>M56/M61</f>
        <v>0</v>
      </c>
      <c r="V56" s="41">
        <f>IF(U56&lt;(0.5),1,0)</f>
        <v>1</v>
      </c>
      <c r="W56" s="41">
        <f>IF(V56+V55=0,0.5*M61,M56*V56)</f>
        <v>0</v>
      </c>
      <c r="X56" s="40">
        <f>IF(J56&gt;0,T56/J56,0)</f>
        <v>0</v>
      </c>
      <c r="Y56" s="40">
        <f>MIN(W56,T56)</f>
        <v>0</v>
      </c>
      <c r="Z56" s="44">
        <f>N56*K56*L56*T56/1000</f>
        <v>0</v>
      </c>
      <c r="AA56" s="44">
        <f>IF(N56&gt;0,Z56/N56,0)</f>
        <v>0</v>
      </c>
      <c r="AB56" s="45"/>
      <c r="AC56" s="60"/>
      <c r="AD56" s="21"/>
    </row>
    <row r="57" spans="1:30" x14ac:dyDescent="0.25">
      <c r="A57" s="1">
        <v>172</v>
      </c>
      <c r="B57" s="1" t="s">
        <v>45</v>
      </c>
      <c r="D57" s="21"/>
      <c r="E57" s="151"/>
      <c r="F57" s="21"/>
      <c r="H57" s="126"/>
      <c r="I57" s="135" cm="1">
        <f t="array" ref="I57">_xlfn.XLOOKUP(H57,MateriaalDatabank!$A$1:A346,MateriaalDatabank!$B$1:B346,0.0000001)</f>
        <v>0</v>
      </c>
      <c r="J57" s="135" cm="1">
        <f t="array" ref="J57">_xlfn.XLOOKUP(I57,MateriaalDatabank!$B$1:B346,MateriaalDatabank!$C$1:C346,0.0000001)</f>
        <v>9.9999999999999995E-8</v>
      </c>
      <c r="K57" s="135" cm="1">
        <f t="array" ref="K57">_xlfn.XLOOKUP(I57,MateriaalDatabank!$B$1:B346,MateriaalDatabank!$D$1:D346,0.0000001)</f>
        <v>9.9999999999999995E-8</v>
      </c>
      <c r="L57" s="135" cm="1">
        <f t="array" ref="L57">_xlfn.XLOOKUP(I57,MateriaalDatabank!$B$1:B346,MateriaalDatabank!$E$1:E346,0.0000001)</f>
        <v>9.9999999999999995E-8</v>
      </c>
      <c r="M57" s="70"/>
      <c r="N57" s="136">
        <f>N56</f>
        <v>0</v>
      </c>
      <c r="O57" s="3">
        <f>O56+Q57</f>
        <v>0</v>
      </c>
      <c r="P57" s="3">
        <f t="shared" ref="P57:P60" si="58">IF(S57&gt;0,S57*M57,0)</f>
        <v>0</v>
      </c>
      <c r="Q57" s="3">
        <f>IF(M57&gt;0,M57/J57,0)</f>
        <v>0</v>
      </c>
      <c r="R57" s="10">
        <f>IF(O57&gt;0.25,0,1)</f>
        <v>1</v>
      </c>
      <c r="S57" s="11">
        <f t="shared" ref="S57:S60" si="59">IF((R57+R56)=1,((0.25-O56)*J57)/M57,R57)</f>
        <v>1</v>
      </c>
      <c r="T57" s="42">
        <f>IF(S57*M57&gt;0.1-T56,0.1-T56,S57*M57)</f>
        <v>0</v>
      </c>
      <c r="U57" s="42">
        <f>(M56+M57)/M61</f>
        <v>0</v>
      </c>
      <c r="V57" s="43">
        <f>IF(U57&lt;(0.5),1,0)</f>
        <v>1</v>
      </c>
      <c r="W57" s="43">
        <f>IF(V57+V56=1,0.5*M61-M56,M57*V57)</f>
        <v>0</v>
      </c>
      <c r="X57" s="42">
        <f t="shared" ref="X57:X60" si="60">IF(J57&gt;0,T57/J57,0)</f>
        <v>0</v>
      </c>
      <c r="Y57" s="42">
        <f>MIN(W57,T57)</f>
        <v>0</v>
      </c>
      <c r="Z57" s="46">
        <f>N57*K57*L57*T57/1000</f>
        <v>0</v>
      </c>
      <c r="AA57" s="46">
        <f t="shared" ref="AA57:AA60" si="61">IF(N57&gt;0,Z57/N57,0)</f>
        <v>0</v>
      </c>
      <c r="AB57" s="47"/>
      <c r="AC57" s="60"/>
      <c r="AD57" s="21"/>
    </row>
    <row r="58" spans="1:30" x14ac:dyDescent="0.25">
      <c r="A58" s="1">
        <v>173</v>
      </c>
      <c r="B58" s="1" t="s">
        <v>46</v>
      </c>
      <c r="D58" s="21"/>
      <c r="E58" s="151"/>
      <c r="F58" s="21"/>
      <c r="H58" s="126"/>
      <c r="I58" s="135" cm="1">
        <f t="array" ref="I58">_xlfn.XLOOKUP(H58,MateriaalDatabank!$A$1:A347,MateriaalDatabank!$B$1:B347,0.0000001)</f>
        <v>0</v>
      </c>
      <c r="J58" s="135" cm="1">
        <f t="array" ref="J58">_xlfn.XLOOKUP(I58,MateriaalDatabank!$B$1:B347,MateriaalDatabank!$C$1:C347,0.0000001)</f>
        <v>9.9999999999999995E-8</v>
      </c>
      <c r="K58" s="135" cm="1">
        <f t="array" ref="K58">_xlfn.XLOOKUP(I58,MateriaalDatabank!$B$1:B347,MateriaalDatabank!$D$1:D347,0.0000001)</f>
        <v>9.9999999999999995E-8</v>
      </c>
      <c r="L58" s="135" cm="1">
        <f t="array" ref="L58">_xlfn.XLOOKUP(I58,MateriaalDatabank!$B$1:B347,MateriaalDatabank!$E$1:E347,0.0000001)</f>
        <v>9.9999999999999995E-8</v>
      </c>
      <c r="M58" s="70"/>
      <c r="N58" s="136">
        <f>N57</f>
        <v>0</v>
      </c>
      <c r="O58" s="3">
        <f>O57+Q58</f>
        <v>0</v>
      </c>
      <c r="P58" s="3">
        <f t="shared" si="58"/>
        <v>0</v>
      </c>
      <c r="Q58" s="3">
        <f t="shared" ref="Q58:Q60" si="62">IF(M58&gt;0,M58/J58,0)</f>
        <v>0</v>
      </c>
      <c r="R58" s="10">
        <f>IF(O58&gt;0.25,0,1)</f>
        <v>1</v>
      </c>
      <c r="S58" s="11">
        <f t="shared" si="59"/>
        <v>1</v>
      </c>
      <c r="T58" s="42">
        <f>IF(S58*M58&gt;0.1-T57-T56,0.1-T57-T56,S58*M58)</f>
        <v>0</v>
      </c>
      <c r="U58" s="42">
        <f>(M56+M57+M58)/M61</f>
        <v>0</v>
      </c>
      <c r="V58" s="43">
        <f>IF(U58&lt;(0.5),1,0)</f>
        <v>1</v>
      </c>
      <c r="W58" s="43">
        <f>IF(V58+V57=1,0.5*M61-M57-M56,M58*V58)</f>
        <v>0</v>
      </c>
      <c r="X58" s="42">
        <f t="shared" si="60"/>
        <v>0</v>
      </c>
      <c r="Y58" s="42">
        <f t="shared" ref="Y58:Y60" si="63">MIN(W58,T58)</f>
        <v>0</v>
      </c>
      <c r="Z58" s="46">
        <f>N58*K58*L58*T58/1000</f>
        <v>0</v>
      </c>
      <c r="AA58" s="46">
        <f t="shared" si="61"/>
        <v>0</v>
      </c>
      <c r="AB58" s="47"/>
      <c r="AC58" s="60"/>
      <c r="AD58" s="21"/>
    </row>
    <row r="59" spans="1:30" x14ac:dyDescent="0.25">
      <c r="D59" s="21"/>
      <c r="E59" s="151"/>
      <c r="F59" s="21"/>
      <c r="H59" s="126"/>
      <c r="I59" s="135" cm="1">
        <f t="array" ref="I59">_xlfn.XLOOKUP(H59,MateriaalDatabank!$A$1:A348,MateriaalDatabank!$B$1:B348,0.0000001)</f>
        <v>0</v>
      </c>
      <c r="J59" s="135" cm="1">
        <f t="array" ref="J59">_xlfn.XLOOKUP(I59,MateriaalDatabank!$B$1:B348,MateriaalDatabank!$C$1:C348,0.0000001)</f>
        <v>9.9999999999999995E-8</v>
      </c>
      <c r="K59" s="135" cm="1">
        <f t="array" ref="K59">_xlfn.XLOOKUP(I59,MateriaalDatabank!$B$1:B348,MateriaalDatabank!$D$1:D348,0.0000001)</f>
        <v>9.9999999999999995E-8</v>
      </c>
      <c r="L59" s="135" cm="1">
        <f t="array" ref="L59">_xlfn.XLOOKUP(I59,MateriaalDatabank!$B$1:B348,MateriaalDatabank!$E$1:E348,0.0000001)</f>
        <v>9.9999999999999995E-8</v>
      </c>
      <c r="M59" s="70"/>
      <c r="N59" s="136">
        <f t="shared" ref="N59:N60" si="64">N58</f>
        <v>0</v>
      </c>
      <c r="O59" s="3">
        <f>O58+Q59</f>
        <v>0</v>
      </c>
      <c r="P59" s="3">
        <f t="shared" si="58"/>
        <v>0</v>
      </c>
      <c r="Q59" s="3">
        <f t="shared" si="62"/>
        <v>0</v>
      </c>
      <c r="R59" s="10">
        <f>IF(O59&gt;0.25,0,1)</f>
        <v>1</v>
      </c>
      <c r="S59" s="11">
        <f t="shared" si="59"/>
        <v>1</v>
      </c>
      <c r="T59" s="42">
        <f>IF(S59*M59&gt;0.1-T58-T57-T56,0.1-T58-T57-T56,S59*M59)</f>
        <v>0</v>
      </c>
      <c r="U59" s="42">
        <f>(M56+M57+M58+M59)/M61</f>
        <v>0</v>
      </c>
      <c r="V59" s="43">
        <f>IF(U59&lt;(0.5),1,0)</f>
        <v>1</v>
      </c>
      <c r="W59" s="43">
        <f>IF(V59+V58=1,0.5*M61-M58-M57-M56,M59*V59)</f>
        <v>0</v>
      </c>
      <c r="X59" s="42">
        <f t="shared" si="60"/>
        <v>0</v>
      </c>
      <c r="Y59" s="42">
        <f t="shared" si="63"/>
        <v>0</v>
      </c>
      <c r="Z59" s="46">
        <f>N59*K59*L59*T59/1000</f>
        <v>0</v>
      </c>
      <c r="AA59" s="46">
        <f t="shared" si="61"/>
        <v>0</v>
      </c>
      <c r="AB59" s="47"/>
      <c r="AC59" s="60"/>
      <c r="AD59" s="21"/>
    </row>
    <row r="60" spans="1:30" x14ac:dyDescent="0.25">
      <c r="A60" s="73" t="s">
        <v>151</v>
      </c>
      <c r="B60" s="73"/>
      <c r="D60" s="21"/>
      <c r="E60" s="151"/>
      <c r="F60" s="21"/>
      <c r="H60" s="126"/>
      <c r="I60" s="135" cm="1">
        <f t="array" ref="I60">_xlfn.XLOOKUP(H60,MateriaalDatabank!$A$1:A349,MateriaalDatabank!$B$1:B349,0.0000001)</f>
        <v>0</v>
      </c>
      <c r="J60" s="135" cm="1">
        <f t="array" ref="J60">_xlfn.XLOOKUP(I60,MateriaalDatabank!$B$1:B349,MateriaalDatabank!$C$1:C349,0.0000001)</f>
        <v>9.9999999999999995E-8</v>
      </c>
      <c r="K60" s="135" cm="1">
        <f t="array" ref="K60">_xlfn.XLOOKUP(I60,MateriaalDatabank!$B$1:B349,MateriaalDatabank!$D$1:D349,0.0000001)</f>
        <v>9.9999999999999995E-8</v>
      </c>
      <c r="L60" s="135" cm="1">
        <f t="array" ref="L60">_xlfn.XLOOKUP(I60,MateriaalDatabank!$B$1:B349,MateriaalDatabank!$E$1:E349,0.0000001)</f>
        <v>9.9999999999999995E-8</v>
      </c>
      <c r="M60" s="70"/>
      <c r="N60" s="136">
        <f t="shared" si="64"/>
        <v>0</v>
      </c>
      <c r="O60" s="3">
        <f>O59+Q60</f>
        <v>0</v>
      </c>
      <c r="P60" s="3">
        <f t="shared" si="58"/>
        <v>0</v>
      </c>
      <c r="Q60" s="3">
        <f t="shared" si="62"/>
        <v>0</v>
      </c>
      <c r="R60" s="10">
        <f>IF(O60&gt;0.25,0,1)</f>
        <v>1</v>
      </c>
      <c r="S60" s="11">
        <f t="shared" si="59"/>
        <v>1</v>
      </c>
      <c r="T60" s="42">
        <f>IF(S60*M60&gt;0.1-T59-T58-T57-T56,0.1-T59-T58-T57-T56,S60*M60)</f>
        <v>0</v>
      </c>
      <c r="U60" s="42">
        <f>(M56+M57+M58+M59+M60)/M61</f>
        <v>0</v>
      </c>
      <c r="V60" s="43">
        <f>IF(U60&lt;(0.5),1,0)</f>
        <v>1</v>
      </c>
      <c r="W60" s="43">
        <f>IF(V60+V59=1,0.5*M61-M59-M58-M57-M56,M60*V60)</f>
        <v>0</v>
      </c>
      <c r="X60" s="42">
        <f t="shared" si="60"/>
        <v>0</v>
      </c>
      <c r="Y60" s="42">
        <f t="shared" si="63"/>
        <v>0</v>
      </c>
      <c r="Z60" s="46">
        <f>N60*K60*L60*T60/1000</f>
        <v>0</v>
      </c>
      <c r="AA60" s="46">
        <f t="shared" si="61"/>
        <v>0</v>
      </c>
      <c r="AB60" s="47"/>
      <c r="AC60" s="60"/>
      <c r="AD60" s="21"/>
    </row>
    <row r="61" spans="1:30" x14ac:dyDescent="0.25">
      <c r="A61" s="1">
        <v>190</v>
      </c>
      <c r="B61" s="1" t="s">
        <v>53</v>
      </c>
      <c r="D61" s="21"/>
      <c r="E61" s="18"/>
      <c r="F61" s="21"/>
      <c r="H61" s="55"/>
      <c r="I61" s="55"/>
      <c r="J61" s="56"/>
      <c r="K61" s="57"/>
      <c r="L61" s="56"/>
      <c r="M61" s="137">
        <f>SUM(M56:M60)+0.00000000000000001</f>
        <v>1.0000000000000001E-17</v>
      </c>
      <c r="N61" s="49">
        <f>N56</f>
        <v>0</v>
      </c>
      <c r="O61" s="57"/>
      <c r="P61" s="137">
        <f>SUM(P56:P60)</f>
        <v>0</v>
      </c>
      <c r="Q61" s="137">
        <f>SUM(Q56:Q60)</f>
        <v>0</v>
      </c>
      <c r="R61" s="57"/>
      <c r="S61" s="57"/>
      <c r="T61" s="137">
        <f>SUM(T56:T60)</f>
        <v>0</v>
      </c>
      <c r="U61" s="137"/>
      <c r="V61" s="138">
        <f>W61/M61</f>
        <v>0</v>
      </c>
      <c r="W61" s="137">
        <f>SUM(W56:W60)</f>
        <v>0</v>
      </c>
      <c r="X61" s="137">
        <f>SUM(X56:X60)</f>
        <v>0</v>
      </c>
      <c r="Y61" s="137"/>
      <c r="Z61" s="58">
        <f>SUM(Z56:Z60)</f>
        <v>0</v>
      </c>
      <c r="AA61" s="58">
        <f>IF(N61&gt;0,Z61/N61,0)</f>
        <v>0</v>
      </c>
      <c r="AB61" s="58">
        <f>Z61/$L$5</f>
        <v>0</v>
      </c>
      <c r="AC61" s="60"/>
      <c r="AD61" s="21"/>
    </row>
    <row r="62" spans="1:30" ht="14.45" customHeight="1" x14ac:dyDescent="0.25">
      <c r="A62" s="1">
        <v>191</v>
      </c>
      <c r="B62" s="1" t="s">
        <v>54</v>
      </c>
      <c r="D62" s="21"/>
      <c r="E62" s="151" t="s">
        <v>136</v>
      </c>
      <c r="F62" s="83" t="s">
        <v>163</v>
      </c>
      <c r="H62" s="127">
        <v>0</v>
      </c>
      <c r="I62" s="52" t="str">
        <f>I55 &amp; " &lt;-- onderzijde (gespiegelde weergave)"</f>
        <v>naam constructie 4 &lt;-- onderzijde (gespiegelde weergave)</v>
      </c>
      <c r="J62" s="53"/>
      <c r="K62" s="53"/>
      <c r="L62" s="53"/>
      <c r="M62" s="53"/>
      <c r="N62" s="54"/>
      <c r="O62" s="2"/>
      <c r="P62" s="2"/>
      <c r="Q62" s="2"/>
      <c r="R62" s="139">
        <v>1</v>
      </c>
      <c r="S62" s="10"/>
      <c r="T62" s="42"/>
      <c r="U62" s="42"/>
      <c r="V62" s="43"/>
      <c r="W62" s="43"/>
      <c r="X62" s="42"/>
      <c r="Y62" s="42"/>
      <c r="Z62" s="48"/>
      <c r="AA62" s="48"/>
      <c r="AB62" s="48"/>
      <c r="AC62" s="60"/>
      <c r="AD62" s="21"/>
    </row>
    <row r="63" spans="1:30" x14ac:dyDescent="0.25">
      <c r="A63" s="1">
        <v>192</v>
      </c>
      <c r="B63" s="1" t="s">
        <v>55</v>
      </c>
      <c r="D63" s="21"/>
      <c r="E63" s="151"/>
      <c r="F63" s="21"/>
      <c r="H63" s="53"/>
      <c r="I63" s="140">
        <f>I60</f>
        <v>0</v>
      </c>
      <c r="J63" s="141">
        <f t="shared" ref="J63:M63" si="65">J60</f>
        <v>9.9999999999999995E-8</v>
      </c>
      <c r="K63" s="141">
        <f t="shared" si="65"/>
        <v>9.9999999999999995E-8</v>
      </c>
      <c r="L63" s="141">
        <f t="shared" si="65"/>
        <v>9.9999999999999995E-8</v>
      </c>
      <c r="M63" s="142">
        <f t="shared" si="65"/>
        <v>0</v>
      </c>
      <c r="N63" s="143">
        <f>N56*$H$62</f>
        <v>0</v>
      </c>
      <c r="O63" s="3">
        <f>Q63</f>
        <v>0</v>
      </c>
      <c r="P63" s="3">
        <f>IF(S63&gt;0,S63*M63,0)</f>
        <v>0</v>
      </c>
      <c r="Q63" s="3">
        <f>IF(M63&gt;0,M63/J63,0)</f>
        <v>0</v>
      </c>
      <c r="R63" s="10">
        <f>IF(O63&gt;0.25,0,1)</f>
        <v>1</v>
      </c>
      <c r="S63" s="11">
        <f>IF((R63+R62)=1,((0.25-O62)*J63)/M63,R63)</f>
        <v>1</v>
      </c>
      <c r="T63" s="42">
        <f>IF(S63*M63&gt;0.1,0.1,S63*M63)</f>
        <v>0</v>
      </c>
      <c r="U63" s="42">
        <f>M63/M68</f>
        <v>0</v>
      </c>
      <c r="V63" s="43">
        <f>IF(U63&lt;(0.5),1,0)</f>
        <v>1</v>
      </c>
      <c r="W63" s="41">
        <f>IF(V63+V62=0,0.5*M68,M63*V63)</f>
        <v>0</v>
      </c>
      <c r="X63" s="42">
        <f>IF(J63&gt;0,T63/J63,0)</f>
        <v>0</v>
      </c>
      <c r="Y63" s="42">
        <f>MIN(W63,T63)</f>
        <v>0</v>
      </c>
      <c r="Z63" s="46">
        <f>N63*K63*L63*T63/1000</f>
        <v>0</v>
      </c>
      <c r="AA63" s="46">
        <f>IF(N63&gt;0,Z63/N63,0)</f>
        <v>0</v>
      </c>
      <c r="AB63" s="47"/>
      <c r="AC63" s="60"/>
      <c r="AD63" s="21"/>
    </row>
    <row r="64" spans="1:30" x14ac:dyDescent="0.25">
      <c r="A64" s="1">
        <v>193</v>
      </c>
      <c r="B64" s="1" t="s">
        <v>56</v>
      </c>
      <c r="D64" s="21"/>
      <c r="E64" s="151"/>
      <c r="F64" s="21"/>
      <c r="H64" s="144"/>
      <c r="I64" s="140">
        <f>I59</f>
        <v>0</v>
      </c>
      <c r="J64" s="141">
        <f t="shared" ref="J64:M64" si="66">J59</f>
        <v>9.9999999999999995E-8</v>
      </c>
      <c r="K64" s="141">
        <f t="shared" si="66"/>
        <v>9.9999999999999995E-8</v>
      </c>
      <c r="L64" s="141">
        <f t="shared" si="66"/>
        <v>9.9999999999999995E-8</v>
      </c>
      <c r="M64" s="142">
        <f t="shared" si="66"/>
        <v>0</v>
      </c>
      <c r="N64" s="143">
        <f t="shared" ref="N64:N67" si="67">N57*$H$62</f>
        <v>0</v>
      </c>
      <c r="O64" s="3">
        <f>O63+Q64</f>
        <v>0</v>
      </c>
      <c r="P64" s="3">
        <f t="shared" ref="P64:P67" si="68">IF(S64&gt;0,S64*M64,0)</f>
        <v>0</v>
      </c>
      <c r="Q64" s="3">
        <f>IF(M64&gt;0,M64/J64,0)</f>
        <v>0</v>
      </c>
      <c r="R64" s="10">
        <f>IF(O64&gt;0.25,0,1)</f>
        <v>1</v>
      </c>
      <c r="S64" s="11">
        <f t="shared" ref="S64:S67" si="69">IF((R64+R63)=1,((0.25-O63)*J64)/M64,R64)</f>
        <v>1</v>
      </c>
      <c r="T64" s="42">
        <f>IF(S64*M64&gt;0.1-T63,0.1-T63,S64*M64)</f>
        <v>0</v>
      </c>
      <c r="U64" s="42">
        <f>(M63+M64)/M68</f>
        <v>0</v>
      </c>
      <c r="V64" s="43">
        <f>IF(U64&lt;(0.5),1,0)</f>
        <v>1</v>
      </c>
      <c r="W64" s="43">
        <f>IF(V64+V63=1,0.5*M68-M63,M64*V64)</f>
        <v>0</v>
      </c>
      <c r="X64" s="42">
        <f t="shared" ref="X64:X67" si="70">IF(J64&gt;0,T64/J64,0)</f>
        <v>0</v>
      </c>
      <c r="Y64" s="42">
        <f>MIN(W64,T64)</f>
        <v>0</v>
      </c>
      <c r="Z64" s="46">
        <f>N64*K64*L64*T64/1000</f>
        <v>0</v>
      </c>
      <c r="AA64" s="46">
        <f t="shared" ref="AA64:AA67" si="71">IF(N64&gt;0,Z64/N64,0)</f>
        <v>0</v>
      </c>
      <c r="AB64" s="47"/>
      <c r="AC64" s="60"/>
      <c r="AD64" s="21"/>
    </row>
    <row r="65" spans="1:42" x14ac:dyDescent="0.25">
      <c r="A65" s="1">
        <v>194</v>
      </c>
      <c r="B65" s="1" t="s">
        <v>57</v>
      </c>
      <c r="D65" s="21"/>
      <c r="E65" s="151"/>
      <c r="F65" s="21"/>
      <c r="H65" s="144"/>
      <c r="I65" s="140">
        <f>I58</f>
        <v>0</v>
      </c>
      <c r="J65" s="141">
        <f t="shared" ref="J65:M65" si="72">J58</f>
        <v>9.9999999999999995E-8</v>
      </c>
      <c r="K65" s="141">
        <f t="shared" si="72"/>
        <v>9.9999999999999995E-8</v>
      </c>
      <c r="L65" s="141">
        <f t="shared" si="72"/>
        <v>9.9999999999999995E-8</v>
      </c>
      <c r="M65" s="142">
        <f t="shared" si="72"/>
        <v>0</v>
      </c>
      <c r="N65" s="143">
        <f t="shared" si="67"/>
        <v>0</v>
      </c>
      <c r="O65" s="3">
        <f>O64+Q65</f>
        <v>0</v>
      </c>
      <c r="P65" s="3">
        <f t="shared" si="68"/>
        <v>0</v>
      </c>
      <c r="Q65" s="3">
        <f t="shared" ref="Q65:Q67" si="73">IF(M65&gt;0,M65/J65,0)</f>
        <v>0</v>
      </c>
      <c r="R65" s="10">
        <f>IF(O65&gt;0.25,0,1)</f>
        <v>1</v>
      </c>
      <c r="S65" s="11">
        <f t="shared" si="69"/>
        <v>1</v>
      </c>
      <c r="T65" s="42">
        <f>IF(S65*M65&gt;0.1-T64-T63,0.1-T64-T63,S65*M65)</f>
        <v>0</v>
      </c>
      <c r="U65" s="42">
        <f>(M63+M64+M65)/M68</f>
        <v>0</v>
      </c>
      <c r="V65" s="43">
        <f>IF(U65&lt;(0.5),1,0)</f>
        <v>1</v>
      </c>
      <c r="W65" s="43">
        <f>IF(V65+V64=1,0.5*M68-M64-M63,M65*V65)</f>
        <v>0</v>
      </c>
      <c r="X65" s="42">
        <f t="shared" si="70"/>
        <v>0</v>
      </c>
      <c r="Y65" s="42">
        <f t="shared" ref="Y65:Y67" si="74">MIN(W65,T65)</f>
        <v>0</v>
      </c>
      <c r="Z65" s="46">
        <f>N65*K65*L65*T65/1000</f>
        <v>0</v>
      </c>
      <c r="AA65" s="46">
        <f t="shared" si="71"/>
        <v>0</v>
      </c>
      <c r="AB65" s="47"/>
      <c r="AC65" s="60"/>
      <c r="AD65" s="21"/>
    </row>
    <row r="66" spans="1:42" x14ac:dyDescent="0.25">
      <c r="D66" s="21"/>
      <c r="E66" s="151"/>
      <c r="F66" s="21"/>
      <c r="H66" s="144"/>
      <c r="I66" s="140">
        <f>I57</f>
        <v>0</v>
      </c>
      <c r="J66" s="141">
        <f t="shared" ref="J66:M66" si="75">J57</f>
        <v>9.9999999999999995E-8</v>
      </c>
      <c r="K66" s="141">
        <f t="shared" si="75"/>
        <v>9.9999999999999995E-8</v>
      </c>
      <c r="L66" s="141">
        <f t="shared" si="75"/>
        <v>9.9999999999999995E-8</v>
      </c>
      <c r="M66" s="142">
        <f t="shared" si="75"/>
        <v>0</v>
      </c>
      <c r="N66" s="143">
        <f t="shared" si="67"/>
        <v>0</v>
      </c>
      <c r="O66" s="3">
        <f>O65+Q66</f>
        <v>0</v>
      </c>
      <c r="P66" s="3">
        <f t="shared" si="68"/>
        <v>0</v>
      </c>
      <c r="Q66" s="3">
        <f t="shared" si="73"/>
        <v>0</v>
      </c>
      <c r="R66" s="10">
        <f>IF(O66&gt;0.25,0,1)</f>
        <v>1</v>
      </c>
      <c r="S66" s="11">
        <f t="shared" si="69"/>
        <v>1</v>
      </c>
      <c r="T66" s="42">
        <f>IF(S66*M66&gt;0.1-T65-T64-T63,0.1-T65-T64-T63,S66*M66)</f>
        <v>0</v>
      </c>
      <c r="U66" s="42">
        <f>(M63+M64+M65+M66)/M68</f>
        <v>0</v>
      </c>
      <c r="V66" s="43">
        <f>IF(U66&lt;(0.5),1,0)</f>
        <v>1</v>
      </c>
      <c r="W66" s="43">
        <f>IF(V66+V65=1,0.5*M68-M65-M64-M63,M66*V66)</f>
        <v>0</v>
      </c>
      <c r="X66" s="42">
        <f t="shared" si="70"/>
        <v>0</v>
      </c>
      <c r="Y66" s="42">
        <f t="shared" si="74"/>
        <v>0</v>
      </c>
      <c r="Z66" s="46">
        <f>N66*K66*L66*T66/1000</f>
        <v>0</v>
      </c>
      <c r="AA66" s="46">
        <f t="shared" si="71"/>
        <v>0</v>
      </c>
      <c r="AB66" s="47"/>
      <c r="AC66" s="60"/>
      <c r="AD66" s="21"/>
    </row>
    <row r="67" spans="1:42" x14ac:dyDescent="0.25">
      <c r="D67" s="21"/>
      <c r="E67" s="151"/>
      <c r="F67" s="21"/>
      <c r="H67" s="144"/>
      <c r="I67" s="140">
        <f>I56</f>
        <v>0</v>
      </c>
      <c r="J67" s="141">
        <f t="shared" ref="J67:M67" si="76">J56</f>
        <v>9.9999999999999995E-8</v>
      </c>
      <c r="K67" s="141">
        <f t="shared" si="76"/>
        <v>9.9999999999999995E-8</v>
      </c>
      <c r="L67" s="141">
        <f t="shared" si="76"/>
        <v>9.9999999999999995E-8</v>
      </c>
      <c r="M67" s="142">
        <f t="shared" si="76"/>
        <v>0</v>
      </c>
      <c r="N67" s="143">
        <f t="shared" si="67"/>
        <v>0</v>
      </c>
      <c r="O67" s="3">
        <f>O66+Q67</f>
        <v>0</v>
      </c>
      <c r="P67" s="3">
        <f t="shared" si="68"/>
        <v>0</v>
      </c>
      <c r="Q67" s="3">
        <f t="shared" si="73"/>
        <v>0</v>
      </c>
      <c r="R67" s="10">
        <f>IF(O67&gt;0.25,0,1)</f>
        <v>1</v>
      </c>
      <c r="S67" s="11">
        <f t="shared" si="69"/>
        <v>1</v>
      </c>
      <c r="T67" s="42">
        <f>IF(S67*M67&gt;0.1-T66-T65-T64-T63,0.1-T66-T65-T64-T63,S67*M67)</f>
        <v>0</v>
      </c>
      <c r="U67" s="42">
        <f>(M63+M64+M65+M66+M67)/M68</f>
        <v>0</v>
      </c>
      <c r="V67" s="43">
        <f>IF(U67&lt;(0.5),1,0)</f>
        <v>1</v>
      </c>
      <c r="W67" s="43">
        <f>IF(V67+V66=1,0.5*M68-M66-M65-M64-M63,M67*V67)</f>
        <v>0</v>
      </c>
      <c r="X67" s="42">
        <f t="shared" si="70"/>
        <v>0</v>
      </c>
      <c r="Y67" s="42">
        <f t="shared" si="74"/>
        <v>0</v>
      </c>
      <c r="Z67" s="46">
        <f>N67*K67*L67*T67/1000</f>
        <v>0</v>
      </c>
      <c r="AA67" s="46">
        <f t="shared" si="71"/>
        <v>0</v>
      </c>
      <c r="AB67" s="47"/>
      <c r="AC67" s="60"/>
      <c r="AD67" s="21"/>
    </row>
    <row r="68" spans="1:42" x14ac:dyDescent="0.25">
      <c r="A68" s="73" t="s">
        <v>152</v>
      </c>
      <c r="B68" s="73"/>
      <c r="D68" s="21"/>
      <c r="E68" s="21"/>
      <c r="F68" s="21"/>
      <c r="H68" s="55"/>
      <c r="I68" s="55"/>
      <c r="J68" s="56"/>
      <c r="K68" s="57"/>
      <c r="L68" s="56"/>
      <c r="M68" s="137">
        <f>SUM(M63:M67)+0.00000000000000001</f>
        <v>1.0000000000000001E-17</v>
      </c>
      <c r="N68" s="49">
        <f>N63</f>
        <v>0</v>
      </c>
      <c r="O68" s="57"/>
      <c r="P68" s="137">
        <f>SUM(P63:P67)</f>
        <v>0</v>
      </c>
      <c r="Q68" s="137">
        <f>SUM(Q63:Q67)</f>
        <v>0</v>
      </c>
      <c r="R68" s="57"/>
      <c r="S68" s="57"/>
      <c r="T68" s="137">
        <f>SUM(T63:T67)</f>
        <v>0</v>
      </c>
      <c r="U68" s="137"/>
      <c r="V68" s="138">
        <f>W68/M68</f>
        <v>0</v>
      </c>
      <c r="W68" s="137">
        <f>SUM(W63:W67)</f>
        <v>0</v>
      </c>
      <c r="X68" s="137">
        <f>SUM(X63:X67)</f>
        <v>0</v>
      </c>
      <c r="Y68" s="137"/>
      <c r="Z68" s="58">
        <f>SUM(Z63:Z67)</f>
        <v>0</v>
      </c>
      <c r="AA68" s="58">
        <f>IF(N68&gt;0,Z68/N68,0)</f>
        <v>0</v>
      </c>
      <c r="AB68" s="58">
        <f>Z68/$L$5</f>
        <v>0</v>
      </c>
      <c r="AC68" s="60"/>
      <c r="AD68" s="21"/>
    </row>
    <row r="69" spans="1:42" ht="15.75" thickBot="1" x14ac:dyDescent="0.3">
      <c r="A69" s="1">
        <v>200</v>
      </c>
      <c r="B69" s="1" t="s">
        <v>60</v>
      </c>
      <c r="D69" s="21"/>
      <c r="E69" s="21"/>
      <c r="F69" s="21"/>
      <c r="H69" s="60"/>
      <c r="I69" s="61"/>
      <c r="J69" s="62"/>
      <c r="K69" s="63"/>
      <c r="L69" s="62"/>
      <c r="M69" s="3"/>
      <c r="N69" s="2"/>
      <c r="O69" s="63"/>
      <c r="P69" s="3"/>
      <c r="Q69" s="3"/>
      <c r="R69" s="63"/>
      <c r="S69" s="63"/>
      <c r="T69" s="3"/>
      <c r="U69" s="3"/>
      <c r="V69" s="11"/>
      <c r="W69" s="3"/>
      <c r="X69" s="3"/>
      <c r="Y69" s="36"/>
      <c r="Z69" s="9"/>
      <c r="AA69" s="9"/>
      <c r="AB69" s="9"/>
      <c r="AC69" s="60"/>
      <c r="AD69" s="21"/>
    </row>
    <row r="70" spans="1:42" ht="14.45" customHeight="1" thickBot="1" x14ac:dyDescent="0.3">
      <c r="A70" s="1">
        <v>201</v>
      </c>
      <c r="B70" s="1" t="s">
        <v>61</v>
      </c>
      <c r="D70" s="21"/>
      <c r="E70" s="151" t="s">
        <v>135</v>
      </c>
      <c r="F70" s="21"/>
      <c r="H70" s="55"/>
      <c r="I70" s="150" t="s">
        <v>189</v>
      </c>
      <c r="J70" s="51"/>
      <c r="K70" s="51"/>
      <c r="L70" s="51"/>
      <c r="M70" s="51"/>
      <c r="N70" s="51"/>
      <c r="O70" s="49"/>
      <c r="P70" s="49"/>
      <c r="Q70" s="49"/>
      <c r="R70" s="145">
        <v>1</v>
      </c>
      <c r="S70" s="146"/>
      <c r="T70" s="49"/>
      <c r="U70" s="49"/>
      <c r="V70" s="49"/>
      <c r="W70" s="49"/>
      <c r="X70" s="49"/>
      <c r="Y70" s="134" t="str">
        <f>I70</f>
        <v>naam constructie 5</v>
      </c>
      <c r="Z70" s="72">
        <f>Z76+Z83</f>
        <v>0</v>
      </c>
      <c r="AA70" s="72">
        <f>AA76+AA83</f>
        <v>0</v>
      </c>
      <c r="AB70" s="72">
        <f>AB76+AB83</f>
        <v>0</v>
      </c>
      <c r="AC70" s="60"/>
      <c r="AD70" s="21"/>
    </row>
    <row r="71" spans="1:42" x14ac:dyDescent="0.25">
      <c r="A71" s="1">
        <v>202</v>
      </c>
      <c r="B71" s="1" t="s">
        <v>62</v>
      </c>
      <c r="D71" s="21"/>
      <c r="E71" s="151"/>
      <c r="F71" s="21"/>
      <c r="H71" s="126"/>
      <c r="I71" s="135" cm="1">
        <f t="array" ref="I71">_xlfn.XLOOKUP(H71,MateriaalDatabank!$A$1:A360,MateriaalDatabank!$B$1:B360,0.0000001)</f>
        <v>0</v>
      </c>
      <c r="J71" s="135" cm="1">
        <f t="array" ref="J71">_xlfn.XLOOKUP(I71,MateriaalDatabank!$B$1:B360,MateriaalDatabank!$C$1:C360,0.0000001)</f>
        <v>9.9999999999999995E-8</v>
      </c>
      <c r="K71" s="135" cm="1">
        <f t="array" ref="K71">_xlfn.XLOOKUP(I71,MateriaalDatabank!$B$1:B360,MateriaalDatabank!$D$1:D360,0.0000001)</f>
        <v>9.9999999999999995E-8</v>
      </c>
      <c r="L71" s="135" cm="1">
        <f t="array" ref="L71">_xlfn.XLOOKUP(I71,MateriaalDatabank!$B$1:B360,MateriaalDatabank!$E$1:E360,0.0000001)</f>
        <v>9.9999999999999995E-8</v>
      </c>
      <c r="M71" s="69"/>
      <c r="N71" s="71"/>
      <c r="O71" s="36">
        <f>Q71</f>
        <v>0</v>
      </c>
      <c r="P71" s="36">
        <f>IF(S71&gt;0,S71*M71,0)</f>
        <v>0</v>
      </c>
      <c r="Q71" s="36">
        <f>IF(M71&gt;0,M71/J71,0)</f>
        <v>0</v>
      </c>
      <c r="R71" s="37">
        <f>IF(O71&gt;0.25,0,1)</f>
        <v>1</v>
      </c>
      <c r="S71" s="38">
        <f>IF((R71+R70)=1,((0.25-O70)*J71)/M71,R71)</f>
        <v>1</v>
      </c>
      <c r="T71" s="40">
        <f>IF(S71*M71&gt;0.1,0.1,S71*M71)</f>
        <v>0</v>
      </c>
      <c r="U71" s="40">
        <f>M71/M76</f>
        <v>0</v>
      </c>
      <c r="V71" s="41">
        <f>IF(U71&lt;(0.5),1,0)</f>
        <v>1</v>
      </c>
      <c r="W71" s="41">
        <f>IF(V71+V70=0,0.5*M76,M71*V71)</f>
        <v>0</v>
      </c>
      <c r="X71" s="40">
        <f>IF(J71&gt;0,T71/J71,0)</f>
        <v>0</v>
      </c>
      <c r="Y71" s="40">
        <f>MIN(W71,T71)</f>
        <v>0</v>
      </c>
      <c r="Z71" s="44">
        <f>N71*K71*L71*T71/1000</f>
        <v>0</v>
      </c>
      <c r="AA71" s="44">
        <f>IF(N71&gt;0,Z71/N71,0)</f>
        <v>0</v>
      </c>
      <c r="AB71" s="45"/>
      <c r="AC71" s="60"/>
      <c r="AD71" s="21"/>
      <c r="AK71" s="12"/>
      <c r="AL71" s="12"/>
      <c r="AN71" s="13"/>
      <c r="AO71" s="13"/>
      <c r="AP71" s="13"/>
    </row>
    <row r="72" spans="1:42" x14ac:dyDescent="0.25">
      <c r="D72" s="21"/>
      <c r="E72" s="151"/>
      <c r="F72" s="21"/>
      <c r="H72" s="126"/>
      <c r="I72" s="135" cm="1">
        <f t="array" ref="I72">_xlfn.XLOOKUP(H72,MateriaalDatabank!$A$1:A361,MateriaalDatabank!$B$1:B361,0.0000001)</f>
        <v>0</v>
      </c>
      <c r="J72" s="135" cm="1">
        <f t="array" ref="J72">_xlfn.XLOOKUP(I72,MateriaalDatabank!$B$1:B361,MateriaalDatabank!$C$1:C361,0.0000001)</f>
        <v>9.9999999999999995E-8</v>
      </c>
      <c r="K72" s="135" cm="1">
        <f t="array" ref="K72">_xlfn.XLOOKUP(I72,MateriaalDatabank!$B$1:B361,MateriaalDatabank!$D$1:D361,0.0000001)</f>
        <v>9.9999999999999995E-8</v>
      </c>
      <c r="L72" s="135" cm="1">
        <f t="array" ref="L72">_xlfn.XLOOKUP(I72,MateriaalDatabank!$B$1:B361,MateriaalDatabank!$E$1:E361,0.0000001)</f>
        <v>9.9999999999999995E-8</v>
      </c>
      <c r="M72" s="70"/>
      <c r="N72" s="136">
        <f>N71</f>
        <v>0</v>
      </c>
      <c r="O72" s="3">
        <f>O71+Q72</f>
        <v>0</v>
      </c>
      <c r="P72" s="3">
        <f t="shared" ref="P72:P75" si="77">IF(S72&gt;0,S72*M72,0)</f>
        <v>0</v>
      </c>
      <c r="Q72" s="3">
        <f>IF(M72&gt;0,M72/J72,0)</f>
        <v>0</v>
      </c>
      <c r="R72" s="10">
        <f>IF(O72&gt;0.25,0,1)</f>
        <v>1</v>
      </c>
      <c r="S72" s="11">
        <f t="shared" ref="S72:S75" si="78">IF((R72+R71)=1,((0.25-O71)*J72)/M72,R72)</f>
        <v>1</v>
      </c>
      <c r="T72" s="42">
        <f>IF(S72*M72&gt;0.1-T71,0.1-T71,S72*M72)</f>
        <v>0</v>
      </c>
      <c r="U72" s="42">
        <f>(M71+M72)/M76</f>
        <v>0</v>
      </c>
      <c r="V72" s="43">
        <f>IF(U72&lt;(0.5),1,0)</f>
        <v>1</v>
      </c>
      <c r="W72" s="43">
        <f>IF(V72+V71=1,0.5*M76-M71,M72*V72)</f>
        <v>0</v>
      </c>
      <c r="X72" s="42">
        <f t="shared" ref="X72:X75" si="79">IF(J72&gt;0,T72/J72,0)</f>
        <v>0</v>
      </c>
      <c r="Y72" s="42">
        <f>MIN(W72,T72)</f>
        <v>0</v>
      </c>
      <c r="Z72" s="46">
        <f>N72*K72*L72*T72/1000</f>
        <v>0</v>
      </c>
      <c r="AA72" s="46">
        <f t="shared" ref="AA72:AA75" si="80">IF(N72&gt;0,Z72/N72,0)</f>
        <v>0</v>
      </c>
      <c r="AB72" s="47"/>
      <c r="AC72" s="60"/>
      <c r="AD72" s="21"/>
    </row>
    <row r="73" spans="1:42" x14ac:dyDescent="0.25">
      <c r="A73" s="73" t="s">
        <v>153</v>
      </c>
      <c r="B73" s="73"/>
      <c r="D73" s="21"/>
      <c r="E73" s="151"/>
      <c r="F73" s="21"/>
      <c r="H73" s="126"/>
      <c r="I73" s="135" cm="1">
        <f t="array" ref="I73">_xlfn.XLOOKUP(H73,MateriaalDatabank!$A$1:A362,MateriaalDatabank!$B$1:B362,0.0000001)</f>
        <v>0</v>
      </c>
      <c r="J73" s="135" cm="1">
        <f t="array" ref="J73">_xlfn.XLOOKUP(I73,MateriaalDatabank!$B$1:B362,MateriaalDatabank!$C$1:C362,0.0000001)</f>
        <v>9.9999999999999995E-8</v>
      </c>
      <c r="K73" s="135" cm="1">
        <f t="array" ref="K73">_xlfn.XLOOKUP(I73,MateriaalDatabank!$B$1:B362,MateriaalDatabank!$D$1:D362,0.0000001)</f>
        <v>9.9999999999999995E-8</v>
      </c>
      <c r="L73" s="135" cm="1">
        <f t="array" ref="L73">_xlfn.XLOOKUP(I73,MateriaalDatabank!$B$1:B362,MateriaalDatabank!$E$1:E362,0.0000001)</f>
        <v>9.9999999999999995E-8</v>
      </c>
      <c r="M73" s="70"/>
      <c r="N73" s="136">
        <f>N72</f>
        <v>0</v>
      </c>
      <c r="O73" s="3">
        <f>O72+Q73</f>
        <v>0</v>
      </c>
      <c r="P73" s="3">
        <f t="shared" si="77"/>
        <v>0</v>
      </c>
      <c r="Q73" s="3">
        <f t="shared" ref="Q73:Q75" si="81">IF(M73&gt;0,M73/J73,0)</f>
        <v>0</v>
      </c>
      <c r="R73" s="10">
        <f>IF(O73&gt;0.25,0,1)</f>
        <v>1</v>
      </c>
      <c r="S73" s="11">
        <f t="shared" si="78"/>
        <v>1</v>
      </c>
      <c r="T73" s="42">
        <f>IF(S73*M73&gt;0.1-T72-T71,0.1-T72-T71,S73*M73)</f>
        <v>0</v>
      </c>
      <c r="U73" s="42">
        <f>(M71+M72+M73)/M76</f>
        <v>0</v>
      </c>
      <c r="V73" s="43">
        <f>IF(U73&lt;(0.5),1,0)</f>
        <v>1</v>
      </c>
      <c r="W73" s="43">
        <f>IF(V73+V72=1,0.5*M76-M72-M71,M73*V73)</f>
        <v>0</v>
      </c>
      <c r="X73" s="42">
        <f t="shared" si="79"/>
        <v>0</v>
      </c>
      <c r="Y73" s="42">
        <f t="shared" ref="Y73:Y75" si="82">MIN(W73,T73)</f>
        <v>0</v>
      </c>
      <c r="Z73" s="46">
        <f>N73*K73*L73*T73/1000</f>
        <v>0</v>
      </c>
      <c r="AA73" s="46">
        <f t="shared" si="80"/>
        <v>0</v>
      </c>
      <c r="AB73" s="47"/>
      <c r="AC73" s="60"/>
      <c r="AD73" s="21"/>
    </row>
    <row r="74" spans="1:42" x14ac:dyDescent="0.25">
      <c r="A74" s="1">
        <v>210</v>
      </c>
      <c r="B74" s="1" t="s">
        <v>64</v>
      </c>
      <c r="D74" s="21"/>
      <c r="E74" s="151"/>
      <c r="F74" s="21"/>
      <c r="H74" s="126"/>
      <c r="I74" s="135" cm="1">
        <f t="array" ref="I74">_xlfn.XLOOKUP(H74,MateriaalDatabank!$A$1:A363,MateriaalDatabank!$B$1:B363,0.0000001)</f>
        <v>0</v>
      </c>
      <c r="J74" s="135" cm="1">
        <f t="array" ref="J74">_xlfn.XLOOKUP(I74,MateriaalDatabank!$B$1:B363,MateriaalDatabank!$C$1:C363,0.0000001)</f>
        <v>9.9999999999999995E-8</v>
      </c>
      <c r="K74" s="135" cm="1">
        <f t="array" ref="K74">_xlfn.XLOOKUP(I74,MateriaalDatabank!$B$1:B363,MateriaalDatabank!$D$1:D363,0.0000001)</f>
        <v>9.9999999999999995E-8</v>
      </c>
      <c r="L74" s="135" cm="1">
        <f t="array" ref="L74">_xlfn.XLOOKUP(I74,MateriaalDatabank!$B$1:B363,MateriaalDatabank!$E$1:E363,0.0000001)</f>
        <v>9.9999999999999995E-8</v>
      </c>
      <c r="M74" s="70"/>
      <c r="N74" s="136">
        <f t="shared" ref="N74:N75" si="83">N73</f>
        <v>0</v>
      </c>
      <c r="O74" s="3">
        <f>O73+Q74</f>
        <v>0</v>
      </c>
      <c r="P74" s="3">
        <f t="shared" si="77"/>
        <v>0</v>
      </c>
      <c r="Q74" s="3">
        <f t="shared" si="81"/>
        <v>0</v>
      </c>
      <c r="R74" s="10">
        <f>IF(O74&gt;0.25,0,1)</f>
        <v>1</v>
      </c>
      <c r="S74" s="11">
        <f t="shared" si="78"/>
        <v>1</v>
      </c>
      <c r="T74" s="42">
        <f>IF(S74*M74&gt;0.1-T73-T72-T71,0.1-T73-T72-T71,S74*M74)</f>
        <v>0</v>
      </c>
      <c r="U74" s="42">
        <f>(M71+M72+M73+M74)/M76</f>
        <v>0</v>
      </c>
      <c r="V74" s="43">
        <f>IF(U74&lt;(0.5),1,0)</f>
        <v>1</v>
      </c>
      <c r="W74" s="43">
        <f>IF(V74+V73=1,0.5*M76-M73-M72-M71,M74*V74)</f>
        <v>0</v>
      </c>
      <c r="X74" s="42">
        <f t="shared" si="79"/>
        <v>0</v>
      </c>
      <c r="Y74" s="42">
        <f t="shared" si="82"/>
        <v>0</v>
      </c>
      <c r="Z74" s="46">
        <f>N74*K74*L74*T74/1000</f>
        <v>0</v>
      </c>
      <c r="AA74" s="46">
        <f t="shared" si="80"/>
        <v>0</v>
      </c>
      <c r="AB74" s="47"/>
      <c r="AC74" s="60"/>
      <c r="AD74" s="21"/>
    </row>
    <row r="75" spans="1:42" x14ac:dyDescent="0.25">
      <c r="A75" s="1">
        <v>211</v>
      </c>
      <c r="B75" s="1" t="s">
        <v>65</v>
      </c>
      <c r="D75" s="21"/>
      <c r="E75" s="151"/>
      <c r="F75" s="21"/>
      <c r="H75" s="126"/>
      <c r="I75" s="135" cm="1">
        <f t="array" ref="I75">_xlfn.XLOOKUP(H75,MateriaalDatabank!$A$1:A364,MateriaalDatabank!$B$1:B364,0.0000001)</f>
        <v>0</v>
      </c>
      <c r="J75" s="135" cm="1">
        <f t="array" ref="J75">_xlfn.XLOOKUP(I75,MateriaalDatabank!$B$1:B364,MateriaalDatabank!$C$1:C364,0.0000001)</f>
        <v>9.9999999999999995E-8</v>
      </c>
      <c r="K75" s="135" cm="1">
        <f t="array" ref="K75">_xlfn.XLOOKUP(I75,MateriaalDatabank!$B$1:B364,MateriaalDatabank!$D$1:D364,0.0000001)</f>
        <v>9.9999999999999995E-8</v>
      </c>
      <c r="L75" s="135" cm="1">
        <f t="array" ref="L75">_xlfn.XLOOKUP(I75,MateriaalDatabank!$B$1:B364,MateriaalDatabank!$E$1:E364,0.0000001)</f>
        <v>9.9999999999999995E-8</v>
      </c>
      <c r="M75" s="70"/>
      <c r="N75" s="136">
        <f t="shared" si="83"/>
        <v>0</v>
      </c>
      <c r="O75" s="3">
        <f>O74+Q75</f>
        <v>0</v>
      </c>
      <c r="P75" s="3">
        <f t="shared" si="77"/>
        <v>0</v>
      </c>
      <c r="Q75" s="3">
        <f t="shared" si="81"/>
        <v>0</v>
      </c>
      <c r="R75" s="10">
        <f>IF(O75&gt;0.25,0,1)</f>
        <v>1</v>
      </c>
      <c r="S75" s="11">
        <f t="shared" si="78"/>
        <v>1</v>
      </c>
      <c r="T75" s="42">
        <f>IF(S75*M75&gt;0.1-T74-T73-T72-T71,0.1-T74-T73-T72-T71,S75*M75)</f>
        <v>0</v>
      </c>
      <c r="U75" s="42">
        <f>(M71+M72+M73+M74+M75)/M76</f>
        <v>0</v>
      </c>
      <c r="V75" s="43">
        <f>IF(U75&lt;(0.5),1,0)</f>
        <v>1</v>
      </c>
      <c r="W75" s="43">
        <f>IF(V75+V74=1,0.5*M76-M74-M73-M72-M71,M75*V75)</f>
        <v>0</v>
      </c>
      <c r="X75" s="42">
        <f t="shared" si="79"/>
        <v>0</v>
      </c>
      <c r="Y75" s="42">
        <f t="shared" si="82"/>
        <v>0</v>
      </c>
      <c r="Z75" s="46">
        <f>N75*K75*L75*T75/1000</f>
        <v>0</v>
      </c>
      <c r="AA75" s="46">
        <f t="shared" si="80"/>
        <v>0</v>
      </c>
      <c r="AB75" s="47"/>
      <c r="AC75" s="60"/>
      <c r="AD75" s="21"/>
    </row>
    <row r="76" spans="1:42" x14ac:dyDescent="0.25">
      <c r="D76" s="21"/>
      <c r="E76" s="18"/>
      <c r="F76" s="21"/>
      <c r="H76" s="55"/>
      <c r="I76" s="55"/>
      <c r="J76" s="56"/>
      <c r="K76" s="57"/>
      <c r="L76" s="56"/>
      <c r="M76" s="137">
        <f>SUM(M71:M75)+0.00000000000000001</f>
        <v>1.0000000000000001E-17</v>
      </c>
      <c r="N76" s="49">
        <f>N71</f>
        <v>0</v>
      </c>
      <c r="O76" s="57"/>
      <c r="P76" s="137">
        <f>SUM(P71:P75)</f>
        <v>0</v>
      </c>
      <c r="Q76" s="137">
        <f>SUM(Q71:Q75)</f>
        <v>0</v>
      </c>
      <c r="R76" s="57"/>
      <c r="S76" s="57"/>
      <c r="T76" s="137">
        <f>SUM(T71:T75)</f>
        <v>0</v>
      </c>
      <c r="U76" s="137"/>
      <c r="V76" s="138">
        <f>W76/M76</f>
        <v>0</v>
      </c>
      <c r="W76" s="137">
        <f>SUM(W71:W75)</f>
        <v>0</v>
      </c>
      <c r="X76" s="137">
        <f>SUM(X71:X75)</f>
        <v>0</v>
      </c>
      <c r="Y76" s="137"/>
      <c r="Z76" s="58">
        <f>SUM(Z71:Z75)</f>
        <v>0</v>
      </c>
      <c r="AA76" s="58">
        <f>IF(N76&gt;0,Z76/N76,0)</f>
        <v>0</v>
      </c>
      <c r="AB76" s="58">
        <f>Z76/$L$5</f>
        <v>0</v>
      </c>
      <c r="AC76" s="60"/>
      <c r="AD76" s="21"/>
    </row>
    <row r="77" spans="1:42" ht="14.45" customHeight="1" x14ac:dyDescent="0.25">
      <c r="A77" s="73" t="s">
        <v>154</v>
      </c>
      <c r="B77" s="73"/>
      <c r="D77" s="21"/>
      <c r="E77" s="151" t="s">
        <v>136</v>
      </c>
      <c r="F77" s="83" t="s">
        <v>163</v>
      </c>
      <c r="H77" s="127">
        <v>0</v>
      </c>
      <c r="I77" s="52" t="str">
        <f>I70 &amp; " &lt;-- onderzijde (gespiegelde weergave)"</f>
        <v>naam constructie 5 &lt;-- onderzijde (gespiegelde weergave)</v>
      </c>
      <c r="J77" s="53"/>
      <c r="K77" s="53"/>
      <c r="L77" s="53"/>
      <c r="M77" s="53"/>
      <c r="N77" s="54"/>
      <c r="O77" s="2"/>
      <c r="P77" s="2"/>
      <c r="Q77" s="2"/>
      <c r="R77" s="139">
        <v>1</v>
      </c>
      <c r="S77" s="10"/>
      <c r="T77" s="42"/>
      <c r="U77" s="42"/>
      <c r="V77" s="43"/>
      <c r="W77" s="43"/>
      <c r="X77" s="42"/>
      <c r="Y77" s="42"/>
      <c r="Z77" s="48"/>
      <c r="AA77" s="48"/>
      <c r="AB77" s="48"/>
      <c r="AC77" s="60"/>
      <c r="AD77" s="21"/>
    </row>
    <row r="78" spans="1:42" x14ac:dyDescent="0.25">
      <c r="A78" s="1">
        <v>220</v>
      </c>
      <c r="B78" s="1" t="s">
        <v>67</v>
      </c>
      <c r="D78" s="21"/>
      <c r="E78" s="151"/>
      <c r="F78" s="21"/>
      <c r="H78" s="53"/>
      <c r="I78" s="140">
        <f>I75</f>
        <v>0</v>
      </c>
      <c r="J78" s="141">
        <f t="shared" ref="J78:M78" si="84">J75</f>
        <v>9.9999999999999995E-8</v>
      </c>
      <c r="K78" s="141">
        <f t="shared" si="84"/>
        <v>9.9999999999999995E-8</v>
      </c>
      <c r="L78" s="141">
        <f t="shared" si="84"/>
        <v>9.9999999999999995E-8</v>
      </c>
      <c r="M78" s="142">
        <f t="shared" si="84"/>
        <v>0</v>
      </c>
      <c r="N78" s="143">
        <f>N71*$H$77</f>
        <v>0</v>
      </c>
      <c r="O78" s="3">
        <f>Q78</f>
        <v>0</v>
      </c>
      <c r="P78" s="3">
        <f>IF(S78&gt;0,S78*M78,0)</f>
        <v>0</v>
      </c>
      <c r="Q78" s="3">
        <f>IF(M78&gt;0,M78/J78,0)</f>
        <v>0</v>
      </c>
      <c r="R78" s="10">
        <f>IF(O78&gt;0.25,0,1)</f>
        <v>1</v>
      </c>
      <c r="S78" s="11">
        <f>IF((R78+R77)=1,((0.25-O77)*J78)/M78,R78)</f>
        <v>1</v>
      </c>
      <c r="T78" s="42">
        <f>IF(S78*M78&gt;0.1,0.1,S78*M78)</f>
        <v>0</v>
      </c>
      <c r="U78" s="42">
        <f>M78/M83</f>
        <v>0</v>
      </c>
      <c r="V78" s="43">
        <f>IF(U78&lt;(0.5),1,0)</f>
        <v>1</v>
      </c>
      <c r="W78" s="41">
        <f>IF(V78+V77=0,0.5*M83,M78*V78)</f>
        <v>0</v>
      </c>
      <c r="X78" s="42">
        <f>IF(J78&gt;0,T78/J78,0)</f>
        <v>0</v>
      </c>
      <c r="Y78" s="42">
        <f>MIN(W78,T78)</f>
        <v>0</v>
      </c>
      <c r="Z78" s="46">
        <f>N78*K78*L78*T78/1000</f>
        <v>0</v>
      </c>
      <c r="AA78" s="46">
        <f>IF(N78&gt;0,Z78/N78,0)</f>
        <v>0</v>
      </c>
      <c r="AB78" s="47"/>
      <c r="AC78" s="60"/>
      <c r="AD78" s="21"/>
      <c r="AK78" s="12"/>
      <c r="AL78" s="12"/>
      <c r="AN78" s="13"/>
      <c r="AO78" s="13"/>
      <c r="AP78" s="13"/>
    </row>
    <row r="79" spans="1:42" x14ac:dyDescent="0.25">
      <c r="A79" s="1">
        <v>221</v>
      </c>
      <c r="B79" s="1" t="s">
        <v>1</v>
      </c>
      <c r="D79" s="21"/>
      <c r="E79" s="151"/>
      <c r="F79" s="21"/>
      <c r="H79" s="144"/>
      <c r="I79" s="140">
        <f>I74</f>
        <v>0</v>
      </c>
      <c r="J79" s="141">
        <f t="shared" ref="J79:M79" si="85">J74</f>
        <v>9.9999999999999995E-8</v>
      </c>
      <c r="K79" s="141">
        <f t="shared" si="85"/>
        <v>9.9999999999999995E-8</v>
      </c>
      <c r="L79" s="141">
        <f t="shared" si="85"/>
        <v>9.9999999999999995E-8</v>
      </c>
      <c r="M79" s="142">
        <f t="shared" si="85"/>
        <v>0</v>
      </c>
      <c r="N79" s="143">
        <f t="shared" ref="N79:N82" si="86">N72*$H$77</f>
        <v>0</v>
      </c>
      <c r="O79" s="3">
        <f>O78+Q79</f>
        <v>0</v>
      </c>
      <c r="P79" s="3">
        <f t="shared" ref="P79:P82" si="87">IF(S79&gt;0,S79*M79,0)</f>
        <v>0</v>
      </c>
      <c r="Q79" s="3">
        <f>IF(M79&gt;0,M79/J79,0)</f>
        <v>0</v>
      </c>
      <c r="R79" s="10">
        <f>IF(O79&gt;0.25,0,1)</f>
        <v>1</v>
      </c>
      <c r="S79" s="11">
        <f t="shared" ref="S79:S82" si="88">IF((R79+R78)=1,((0.25-O78)*J79)/M79,R79)</f>
        <v>1</v>
      </c>
      <c r="T79" s="42">
        <f>IF(S79*M79&gt;0.1-T78,0.1-T78,S79*M79)</f>
        <v>0</v>
      </c>
      <c r="U79" s="42">
        <f>(M78+M79)/M83</f>
        <v>0</v>
      </c>
      <c r="V79" s="43">
        <f>IF(U79&lt;(0.5),1,0)</f>
        <v>1</v>
      </c>
      <c r="W79" s="43">
        <f>IF(V79+V78=1,0.5*M83-M78,M79*V79)</f>
        <v>0</v>
      </c>
      <c r="X79" s="42">
        <f t="shared" ref="X79:X82" si="89">IF(J79&gt;0,T79/J79,0)</f>
        <v>0</v>
      </c>
      <c r="Y79" s="42">
        <f>MIN(W79,T79)</f>
        <v>0</v>
      </c>
      <c r="Z79" s="46">
        <f>N79*K79*L79*T79/1000</f>
        <v>0</v>
      </c>
      <c r="AA79" s="46">
        <f t="shared" ref="AA79:AA82" si="90">IF(N79&gt;0,Z79/N79,0)</f>
        <v>0</v>
      </c>
      <c r="AB79" s="47"/>
      <c r="AC79" s="60"/>
      <c r="AD79" s="21"/>
    </row>
    <row r="80" spans="1:42" x14ac:dyDescent="0.25">
      <c r="A80" s="1">
        <v>222</v>
      </c>
      <c r="B80" s="1" t="s">
        <v>68</v>
      </c>
      <c r="D80" s="21"/>
      <c r="E80" s="151"/>
      <c r="F80" s="21"/>
      <c r="H80" s="144"/>
      <c r="I80" s="140">
        <f>I73</f>
        <v>0</v>
      </c>
      <c r="J80" s="141">
        <f t="shared" ref="J80:M80" si="91">J73</f>
        <v>9.9999999999999995E-8</v>
      </c>
      <c r="K80" s="141">
        <f t="shared" si="91"/>
        <v>9.9999999999999995E-8</v>
      </c>
      <c r="L80" s="141">
        <f t="shared" si="91"/>
        <v>9.9999999999999995E-8</v>
      </c>
      <c r="M80" s="142">
        <f t="shared" si="91"/>
        <v>0</v>
      </c>
      <c r="N80" s="143">
        <f t="shared" si="86"/>
        <v>0</v>
      </c>
      <c r="O80" s="3">
        <f>O79+Q80</f>
        <v>0</v>
      </c>
      <c r="P80" s="3">
        <f t="shared" si="87"/>
        <v>0</v>
      </c>
      <c r="Q80" s="3">
        <f t="shared" ref="Q80:Q82" si="92">IF(M80&gt;0,M80/J80,0)</f>
        <v>0</v>
      </c>
      <c r="R80" s="10">
        <f>IF(O80&gt;0.25,0,1)</f>
        <v>1</v>
      </c>
      <c r="S80" s="11">
        <f t="shared" si="88"/>
        <v>1</v>
      </c>
      <c r="T80" s="42">
        <f>IF(S80*M80&gt;0.1-T79-T78,0.1-T79-T78,S80*M80)</f>
        <v>0</v>
      </c>
      <c r="U80" s="42">
        <f>(M78+M79+M80)/M83</f>
        <v>0</v>
      </c>
      <c r="V80" s="43">
        <f>IF(U80&lt;(0.5),1,0)</f>
        <v>1</v>
      </c>
      <c r="W80" s="43">
        <f>IF(V80+V79=1,0.5*M83-M79-M78,M80*V80)</f>
        <v>0</v>
      </c>
      <c r="X80" s="42">
        <f t="shared" si="89"/>
        <v>0</v>
      </c>
      <c r="Y80" s="42">
        <f t="shared" ref="Y80:Y82" si="93">MIN(W80,T80)</f>
        <v>0</v>
      </c>
      <c r="Z80" s="46">
        <f>N80*K80*L80*T80/1000</f>
        <v>0</v>
      </c>
      <c r="AA80" s="46">
        <f t="shared" si="90"/>
        <v>0</v>
      </c>
      <c r="AB80" s="47"/>
      <c r="AC80" s="60"/>
      <c r="AD80" s="21"/>
    </row>
    <row r="81" spans="1:42" x14ac:dyDescent="0.25">
      <c r="A81" s="1">
        <v>223</v>
      </c>
      <c r="B81" s="1" t="s">
        <v>82</v>
      </c>
      <c r="D81" s="21"/>
      <c r="E81" s="151"/>
      <c r="F81" s="21"/>
      <c r="H81" s="144"/>
      <c r="I81" s="140">
        <f>I72</f>
        <v>0</v>
      </c>
      <c r="J81" s="141">
        <f t="shared" ref="J81:M81" si="94">J72</f>
        <v>9.9999999999999995E-8</v>
      </c>
      <c r="K81" s="141">
        <f t="shared" si="94"/>
        <v>9.9999999999999995E-8</v>
      </c>
      <c r="L81" s="141">
        <f t="shared" si="94"/>
        <v>9.9999999999999995E-8</v>
      </c>
      <c r="M81" s="142">
        <f t="shared" si="94"/>
        <v>0</v>
      </c>
      <c r="N81" s="143">
        <f t="shared" si="86"/>
        <v>0</v>
      </c>
      <c r="O81" s="3">
        <f>O80+Q81</f>
        <v>0</v>
      </c>
      <c r="P81" s="3">
        <f t="shared" si="87"/>
        <v>0</v>
      </c>
      <c r="Q81" s="3">
        <f t="shared" si="92"/>
        <v>0</v>
      </c>
      <c r="R81" s="10">
        <f>IF(O81&gt;0.25,0,1)</f>
        <v>1</v>
      </c>
      <c r="S81" s="11">
        <f t="shared" si="88"/>
        <v>1</v>
      </c>
      <c r="T81" s="42">
        <f>IF(S81*M81&gt;0.1-T80-T79-T78,0.1-T80-T79-T78,S81*M81)</f>
        <v>0</v>
      </c>
      <c r="U81" s="42">
        <f>(M78+M79+M80+M81)/M83</f>
        <v>0</v>
      </c>
      <c r="V81" s="43">
        <f>IF(U81&lt;(0.5),1,0)</f>
        <v>1</v>
      </c>
      <c r="W81" s="43">
        <f>IF(V81+V80=1,0.5*M83-M80-M79-M78,M81*V81)</f>
        <v>0</v>
      </c>
      <c r="X81" s="42">
        <f t="shared" si="89"/>
        <v>0</v>
      </c>
      <c r="Y81" s="42">
        <f t="shared" si="93"/>
        <v>0</v>
      </c>
      <c r="Z81" s="46">
        <f>N81*K81*L81*T81/1000</f>
        <v>0</v>
      </c>
      <c r="AA81" s="46">
        <f t="shared" si="90"/>
        <v>0</v>
      </c>
      <c r="AB81" s="47"/>
      <c r="AC81" s="60"/>
      <c r="AD81" s="21"/>
    </row>
    <row r="82" spans="1:42" x14ac:dyDescent="0.25">
      <c r="A82" s="1">
        <v>224</v>
      </c>
      <c r="B82" s="1" t="s">
        <v>83</v>
      </c>
      <c r="D82" s="21"/>
      <c r="E82" s="151"/>
      <c r="F82" s="21"/>
      <c r="H82" s="144"/>
      <c r="I82" s="140">
        <f>I71</f>
        <v>0</v>
      </c>
      <c r="J82" s="141">
        <f t="shared" ref="J82:M82" si="95">J71</f>
        <v>9.9999999999999995E-8</v>
      </c>
      <c r="K82" s="141">
        <f t="shared" si="95"/>
        <v>9.9999999999999995E-8</v>
      </c>
      <c r="L82" s="141">
        <f t="shared" si="95"/>
        <v>9.9999999999999995E-8</v>
      </c>
      <c r="M82" s="142">
        <f t="shared" si="95"/>
        <v>0</v>
      </c>
      <c r="N82" s="143">
        <f t="shared" si="86"/>
        <v>0</v>
      </c>
      <c r="O82" s="3">
        <f>O81+Q82</f>
        <v>0</v>
      </c>
      <c r="P82" s="3">
        <f t="shared" si="87"/>
        <v>0</v>
      </c>
      <c r="Q82" s="3">
        <f t="shared" si="92"/>
        <v>0</v>
      </c>
      <c r="R82" s="10">
        <f>IF(O82&gt;0.25,0,1)</f>
        <v>1</v>
      </c>
      <c r="S82" s="11">
        <f t="shared" si="88"/>
        <v>1</v>
      </c>
      <c r="T82" s="42">
        <f>IF(S82*M82&gt;0.1-T81-T80-T79-T78,0.1-T81-T80-T79-T78,S82*M82)</f>
        <v>0</v>
      </c>
      <c r="U82" s="42">
        <f>(M78+M79+M80+M81+M82)/M83</f>
        <v>0</v>
      </c>
      <c r="V82" s="43">
        <f>IF(U82&lt;(0.5),1,0)</f>
        <v>1</v>
      </c>
      <c r="W82" s="43">
        <f>IF(V82+V81=1,0.5*M83-M81-M80-M79-M78,M82*V82)</f>
        <v>0</v>
      </c>
      <c r="X82" s="42">
        <f t="shared" si="89"/>
        <v>0</v>
      </c>
      <c r="Y82" s="42">
        <f t="shared" si="93"/>
        <v>0</v>
      </c>
      <c r="Z82" s="46">
        <f>N82*K82*L82*T82/1000</f>
        <v>0</v>
      </c>
      <c r="AA82" s="46">
        <f t="shared" si="90"/>
        <v>0</v>
      </c>
      <c r="AB82" s="47"/>
      <c r="AC82" s="60"/>
      <c r="AD82" s="21"/>
    </row>
    <row r="83" spans="1:42" x14ac:dyDescent="0.25">
      <c r="D83" s="21"/>
      <c r="E83" s="21"/>
      <c r="F83" s="21"/>
      <c r="H83" s="55"/>
      <c r="I83" s="55"/>
      <c r="J83" s="56"/>
      <c r="K83" s="57"/>
      <c r="L83" s="56"/>
      <c r="M83" s="137">
        <f>SUM(M78:M82)+0.00000000000000001</f>
        <v>1.0000000000000001E-17</v>
      </c>
      <c r="N83" s="49">
        <f>N78</f>
        <v>0</v>
      </c>
      <c r="O83" s="57"/>
      <c r="P83" s="137">
        <f>SUM(P78:P82)</f>
        <v>0</v>
      </c>
      <c r="Q83" s="137">
        <f>SUM(Q78:Q82)</f>
        <v>0</v>
      </c>
      <c r="R83" s="57"/>
      <c r="S83" s="57"/>
      <c r="T83" s="137">
        <f>SUM(T78:T82)</f>
        <v>0</v>
      </c>
      <c r="U83" s="137"/>
      <c r="V83" s="138">
        <f>W83/M83</f>
        <v>0</v>
      </c>
      <c r="W83" s="137">
        <f>SUM(W78:W82)</f>
        <v>0</v>
      </c>
      <c r="X83" s="137">
        <f>SUM(X78:X82)</f>
        <v>0</v>
      </c>
      <c r="Y83" s="137"/>
      <c r="Z83" s="58">
        <f>SUM(Z78:Z82)</f>
        <v>0</v>
      </c>
      <c r="AA83" s="58">
        <f>IF(N83&gt;0,Z83/N83,0)</f>
        <v>0</v>
      </c>
      <c r="AB83" s="58">
        <f>Z83/$L$5</f>
        <v>0</v>
      </c>
      <c r="AC83" s="60"/>
      <c r="AD83" s="21"/>
    </row>
    <row r="84" spans="1:42" ht="15.75" thickBot="1" x14ac:dyDescent="0.3">
      <c r="A84" s="73" t="s">
        <v>155</v>
      </c>
      <c r="B84" s="73"/>
      <c r="D84" s="21"/>
      <c r="E84" s="21"/>
      <c r="F84" s="21"/>
      <c r="H84" s="60"/>
      <c r="I84" s="61"/>
      <c r="J84" s="62"/>
      <c r="K84" s="63"/>
      <c r="L84" s="62"/>
      <c r="M84" s="3"/>
      <c r="N84" s="2"/>
      <c r="O84" s="63"/>
      <c r="P84" s="3"/>
      <c r="Q84" s="3"/>
      <c r="R84" s="63"/>
      <c r="S84" s="63"/>
      <c r="T84" s="3"/>
      <c r="U84" s="3"/>
      <c r="V84" s="11"/>
      <c r="W84" s="3"/>
      <c r="X84" s="3"/>
      <c r="Y84" s="36"/>
      <c r="Z84" s="9"/>
      <c r="AA84" s="9"/>
      <c r="AB84" s="9"/>
      <c r="AC84" s="60"/>
      <c r="AD84" s="21"/>
    </row>
    <row r="85" spans="1:42" ht="14.45" customHeight="1" thickBot="1" x14ac:dyDescent="0.3">
      <c r="A85" s="1">
        <v>230</v>
      </c>
      <c r="B85" s="1" t="s">
        <v>70</v>
      </c>
      <c r="D85" s="21"/>
      <c r="E85" s="151" t="s">
        <v>135</v>
      </c>
      <c r="F85" s="21"/>
      <c r="H85" s="55"/>
      <c r="I85" s="150" t="s">
        <v>190</v>
      </c>
      <c r="J85" s="51"/>
      <c r="K85" s="51"/>
      <c r="L85" s="51"/>
      <c r="M85" s="51"/>
      <c r="N85" s="51"/>
      <c r="O85" s="49"/>
      <c r="P85" s="49"/>
      <c r="Q85" s="49"/>
      <c r="R85" s="145">
        <v>1</v>
      </c>
      <c r="S85" s="146"/>
      <c r="T85" s="49"/>
      <c r="U85" s="49"/>
      <c r="V85" s="49"/>
      <c r="W85" s="49"/>
      <c r="X85" s="49"/>
      <c r="Y85" s="134" t="str">
        <f>I85</f>
        <v>naam constructie 6</v>
      </c>
      <c r="Z85" s="72">
        <f>Z91+Z98</f>
        <v>0</v>
      </c>
      <c r="AA85" s="72">
        <f>AA91+AA98</f>
        <v>0</v>
      </c>
      <c r="AB85" s="72">
        <f>AB91+AB98</f>
        <v>0</v>
      </c>
      <c r="AC85" s="60"/>
      <c r="AD85" s="21"/>
    </row>
    <row r="86" spans="1:42" x14ac:dyDescent="0.25">
      <c r="A86" s="1">
        <v>231</v>
      </c>
      <c r="B86" s="1" t="s">
        <v>71</v>
      </c>
      <c r="D86" s="21"/>
      <c r="E86" s="151"/>
      <c r="F86" s="21"/>
      <c r="H86" s="126"/>
      <c r="I86" s="135" cm="1">
        <f t="array" ref="I86">_xlfn.XLOOKUP(H86,MateriaalDatabank!$A$1:A375,MateriaalDatabank!$B$1:B375,0.0000001)</f>
        <v>0</v>
      </c>
      <c r="J86" s="135" cm="1">
        <f t="array" ref="J86">_xlfn.XLOOKUP(I86,MateriaalDatabank!$B$1:B375,MateriaalDatabank!$C$1:C375,0.0000001)</f>
        <v>9.9999999999999995E-8</v>
      </c>
      <c r="K86" s="135" cm="1">
        <f t="array" ref="K86">_xlfn.XLOOKUP(I86,MateriaalDatabank!$B$1:B375,MateriaalDatabank!$D$1:D375,0.0000001)</f>
        <v>9.9999999999999995E-8</v>
      </c>
      <c r="L86" s="135" cm="1">
        <f t="array" ref="L86">_xlfn.XLOOKUP(I86,MateriaalDatabank!$B$1:B375,MateriaalDatabank!$E$1:E375,0.0000001)</f>
        <v>9.9999999999999995E-8</v>
      </c>
      <c r="M86" s="69"/>
      <c r="N86" s="71"/>
      <c r="O86" s="36">
        <f>Q86</f>
        <v>0</v>
      </c>
      <c r="P86" s="36">
        <f>IF(S86&gt;0,S86*M86,0)</f>
        <v>0</v>
      </c>
      <c r="Q86" s="36">
        <f>IF(M86&gt;0,M86/J86,0)</f>
        <v>0</v>
      </c>
      <c r="R86" s="37">
        <f>IF(O86&gt;0.25,0,1)</f>
        <v>1</v>
      </c>
      <c r="S86" s="38">
        <f>IF((R86+R85)=1,((0.25-O85)*J86)/M86,R86)</f>
        <v>1</v>
      </c>
      <c r="T86" s="40">
        <f>IF(S86*M86&gt;0.1,0.1,S86*M86)</f>
        <v>0</v>
      </c>
      <c r="U86" s="40">
        <f>M86/M91</f>
        <v>0</v>
      </c>
      <c r="V86" s="41">
        <f>IF(U86&lt;(0.5),1,0)</f>
        <v>1</v>
      </c>
      <c r="W86" s="41">
        <f>IF(V86+V85=0,0.5*M91,M86*V86)</f>
        <v>0</v>
      </c>
      <c r="X86" s="40">
        <f>IF(J86&gt;0,T86/J86,0)</f>
        <v>0</v>
      </c>
      <c r="Y86" s="40">
        <f>MIN(W86,T86)</f>
        <v>0</v>
      </c>
      <c r="Z86" s="44">
        <f>N86*K86*L86*T86/1000</f>
        <v>0</v>
      </c>
      <c r="AA86" s="44">
        <f>IF(N86&gt;0,Z86/N86,0)</f>
        <v>0</v>
      </c>
      <c r="AB86" s="45"/>
      <c r="AC86" s="60"/>
      <c r="AD86" s="21"/>
      <c r="AK86" s="12"/>
      <c r="AL86" s="12"/>
      <c r="AN86" s="13"/>
      <c r="AO86" s="13"/>
      <c r="AP86" s="13"/>
    </row>
    <row r="87" spans="1:42" x14ac:dyDescent="0.25">
      <c r="A87" s="1">
        <v>232</v>
      </c>
      <c r="B87" s="1" t="s">
        <v>175</v>
      </c>
      <c r="D87" s="21"/>
      <c r="E87" s="151"/>
      <c r="F87" s="21"/>
      <c r="H87" s="126"/>
      <c r="I87" s="135" cm="1">
        <f t="array" ref="I87">_xlfn.XLOOKUP(H87,MateriaalDatabank!$A$1:A376,MateriaalDatabank!$B$1:B376,0.0000001)</f>
        <v>0</v>
      </c>
      <c r="J87" s="135" cm="1">
        <f t="array" ref="J87">_xlfn.XLOOKUP(I87,MateriaalDatabank!$B$1:B376,MateriaalDatabank!$C$1:C376,0.0000001)</f>
        <v>9.9999999999999995E-8</v>
      </c>
      <c r="K87" s="135" cm="1">
        <f t="array" ref="K87">_xlfn.XLOOKUP(I87,MateriaalDatabank!$B$1:B376,MateriaalDatabank!$D$1:D376,0.0000001)</f>
        <v>9.9999999999999995E-8</v>
      </c>
      <c r="L87" s="135" cm="1">
        <f t="array" ref="L87">_xlfn.XLOOKUP(I87,MateriaalDatabank!$B$1:B376,MateriaalDatabank!$E$1:E376,0.0000001)</f>
        <v>9.9999999999999995E-8</v>
      </c>
      <c r="M87" s="70"/>
      <c r="N87" s="136">
        <f>N86</f>
        <v>0</v>
      </c>
      <c r="O87" s="3">
        <f>O86+Q87</f>
        <v>0</v>
      </c>
      <c r="P87" s="3">
        <f t="shared" ref="P87:P90" si="96">IF(S87&gt;0,S87*M87,0)</f>
        <v>0</v>
      </c>
      <c r="Q87" s="3">
        <f>IF(M87&gt;0,M87/J87,0)</f>
        <v>0</v>
      </c>
      <c r="R87" s="10">
        <f>IF(O87&gt;0.25,0,1)</f>
        <v>1</v>
      </c>
      <c r="S87" s="11">
        <f t="shared" ref="S87:S90" si="97">IF((R87+R86)=1,((0.25-O86)*J87)/M87,R87)</f>
        <v>1</v>
      </c>
      <c r="T87" s="42">
        <f>IF(S87*M87&gt;0.1-T86,0.1-T86,S87*M87)</f>
        <v>0</v>
      </c>
      <c r="U87" s="42">
        <f>(M86+M87)/M91</f>
        <v>0</v>
      </c>
      <c r="V87" s="43">
        <f>IF(U87&lt;(0.5),1,0)</f>
        <v>1</v>
      </c>
      <c r="W87" s="43">
        <f>IF(V87+V86=1,0.5*M91-M86,M87*V87)</f>
        <v>0</v>
      </c>
      <c r="X87" s="42">
        <f t="shared" ref="X87:X90" si="98">IF(J87&gt;0,T87/J87,0)</f>
        <v>0</v>
      </c>
      <c r="Y87" s="42">
        <f>MIN(W87,T87)</f>
        <v>0</v>
      </c>
      <c r="Z87" s="46">
        <f>N87*K87*L87*T87/1000</f>
        <v>0</v>
      </c>
      <c r="AA87" s="46">
        <f t="shared" ref="AA87:AA90" si="99">IF(N87&gt;0,Z87/N87,0)</f>
        <v>0</v>
      </c>
      <c r="AB87" s="47"/>
      <c r="AC87" s="60"/>
      <c r="AD87" s="21"/>
    </row>
    <row r="88" spans="1:42" x14ac:dyDescent="0.25">
      <c r="A88" s="1">
        <v>233</v>
      </c>
      <c r="B88" s="1" t="s">
        <v>72</v>
      </c>
      <c r="D88" s="21"/>
      <c r="E88" s="151"/>
      <c r="F88" s="21"/>
      <c r="H88" s="126"/>
      <c r="I88" s="135" cm="1">
        <f t="array" ref="I88">_xlfn.XLOOKUP(H88,MateriaalDatabank!$A$1:A377,MateriaalDatabank!$B$1:B377,0.0000001)</f>
        <v>0</v>
      </c>
      <c r="J88" s="135" cm="1">
        <f t="array" ref="J88">_xlfn.XLOOKUP(I88,MateriaalDatabank!$B$1:B377,MateriaalDatabank!$C$1:C377,0.0000001)</f>
        <v>9.9999999999999995E-8</v>
      </c>
      <c r="K88" s="135" cm="1">
        <f t="array" ref="K88">_xlfn.XLOOKUP(I88,MateriaalDatabank!$B$1:B377,MateriaalDatabank!$D$1:D377,0.0000001)</f>
        <v>9.9999999999999995E-8</v>
      </c>
      <c r="L88" s="135" cm="1">
        <f t="array" ref="L88">_xlfn.XLOOKUP(I88,MateriaalDatabank!$B$1:B377,MateriaalDatabank!$E$1:E377,0.0000001)</f>
        <v>9.9999999999999995E-8</v>
      </c>
      <c r="M88" s="70"/>
      <c r="N88" s="136">
        <f>N87</f>
        <v>0</v>
      </c>
      <c r="O88" s="3">
        <f>O87+Q88</f>
        <v>0</v>
      </c>
      <c r="P88" s="3">
        <f t="shared" si="96"/>
        <v>0</v>
      </c>
      <c r="Q88" s="3">
        <f t="shared" ref="Q88:Q90" si="100">IF(M88&gt;0,M88/J88,0)</f>
        <v>0</v>
      </c>
      <c r="R88" s="10">
        <f>IF(O88&gt;0.25,0,1)</f>
        <v>1</v>
      </c>
      <c r="S88" s="11">
        <f t="shared" si="97"/>
        <v>1</v>
      </c>
      <c r="T88" s="42">
        <f>IF(S88*M88&gt;0.1-T87-T86,0.1-T87-T86,S88*M88)</f>
        <v>0</v>
      </c>
      <c r="U88" s="42">
        <f>(M86+M87+M88)/M91</f>
        <v>0</v>
      </c>
      <c r="V88" s="43">
        <f>IF(U88&lt;(0.5),1,0)</f>
        <v>1</v>
      </c>
      <c r="W88" s="43">
        <f>IF(V88+V87=1,0.5*M91-M87-M86,M88*V88)</f>
        <v>0</v>
      </c>
      <c r="X88" s="42">
        <f t="shared" si="98"/>
        <v>0</v>
      </c>
      <c r="Y88" s="42">
        <f t="shared" ref="Y88:Y90" si="101">MIN(W88,T88)</f>
        <v>0</v>
      </c>
      <c r="Z88" s="46">
        <f>N88*K88*L88*T88/1000</f>
        <v>0</v>
      </c>
      <c r="AA88" s="46">
        <f t="shared" si="99"/>
        <v>0</v>
      </c>
      <c r="AB88" s="47"/>
      <c r="AC88" s="60"/>
      <c r="AD88" s="21"/>
    </row>
    <row r="89" spans="1:42" x14ac:dyDescent="0.25">
      <c r="A89" s="1">
        <v>234</v>
      </c>
      <c r="B89" s="1" t="s">
        <v>73</v>
      </c>
      <c r="D89" s="21"/>
      <c r="E89" s="151"/>
      <c r="F89" s="21"/>
      <c r="H89" s="126"/>
      <c r="I89" s="135" cm="1">
        <f t="array" ref="I89">_xlfn.XLOOKUP(H89,MateriaalDatabank!$A$1:A378,MateriaalDatabank!$B$1:B378,0.0000001)</f>
        <v>0</v>
      </c>
      <c r="J89" s="135" cm="1">
        <f t="array" ref="J89">_xlfn.XLOOKUP(I89,MateriaalDatabank!$B$1:B378,MateriaalDatabank!$C$1:C378,0.0000001)</f>
        <v>9.9999999999999995E-8</v>
      </c>
      <c r="K89" s="135" cm="1">
        <f t="array" ref="K89">_xlfn.XLOOKUP(I89,MateriaalDatabank!$B$1:B378,MateriaalDatabank!$D$1:D378,0.0000001)</f>
        <v>9.9999999999999995E-8</v>
      </c>
      <c r="L89" s="135" cm="1">
        <f t="array" ref="L89">_xlfn.XLOOKUP(I89,MateriaalDatabank!$B$1:B378,MateriaalDatabank!$E$1:E378,0.0000001)</f>
        <v>9.9999999999999995E-8</v>
      </c>
      <c r="M89" s="70"/>
      <c r="N89" s="136">
        <f t="shared" ref="N89:N90" si="102">N88</f>
        <v>0</v>
      </c>
      <c r="O89" s="3">
        <f>O88+Q89</f>
        <v>0</v>
      </c>
      <c r="P89" s="3">
        <f t="shared" si="96"/>
        <v>0</v>
      </c>
      <c r="Q89" s="3">
        <f t="shared" si="100"/>
        <v>0</v>
      </c>
      <c r="R89" s="10">
        <f>IF(O89&gt;0.25,0,1)</f>
        <v>1</v>
      </c>
      <c r="S89" s="11">
        <f t="shared" si="97"/>
        <v>1</v>
      </c>
      <c r="T89" s="42">
        <f>IF(S89*M89&gt;0.1-T88-T87-T86,0.1-T88-T87-T86,S89*M89)</f>
        <v>0</v>
      </c>
      <c r="U89" s="42">
        <f>(M86+M87+M88+M89)/M91</f>
        <v>0</v>
      </c>
      <c r="V89" s="43">
        <f>IF(U89&lt;(0.5),1,0)</f>
        <v>1</v>
      </c>
      <c r="W89" s="43">
        <f>IF(V89+V88=1,0.5*M91-M88-M87-M86,M89*V89)</f>
        <v>0</v>
      </c>
      <c r="X89" s="42">
        <f t="shared" si="98"/>
        <v>0</v>
      </c>
      <c r="Y89" s="42">
        <f t="shared" si="101"/>
        <v>0</v>
      </c>
      <c r="Z89" s="46">
        <f>N89*K89*L89*T89/1000</f>
        <v>0</v>
      </c>
      <c r="AA89" s="46">
        <f t="shared" si="99"/>
        <v>0</v>
      </c>
      <c r="AB89" s="47"/>
      <c r="AC89" s="60"/>
      <c r="AD89" s="21"/>
    </row>
    <row r="90" spans="1:42" x14ac:dyDescent="0.25">
      <c r="A90" s="1">
        <v>235</v>
      </c>
      <c r="B90" s="1" t="s">
        <v>74</v>
      </c>
      <c r="D90" s="21"/>
      <c r="E90" s="151"/>
      <c r="F90" s="21"/>
      <c r="H90" s="126"/>
      <c r="I90" s="135" cm="1">
        <f t="array" ref="I90">_xlfn.XLOOKUP(H90,MateriaalDatabank!$A$1:A379,MateriaalDatabank!$B$1:B379,0.0000001)</f>
        <v>0</v>
      </c>
      <c r="J90" s="135" cm="1">
        <f t="array" ref="J90">_xlfn.XLOOKUP(I90,MateriaalDatabank!$B$1:B379,MateriaalDatabank!$C$1:C379,0.0000001)</f>
        <v>9.9999999999999995E-8</v>
      </c>
      <c r="K90" s="135" cm="1">
        <f t="array" ref="K90">_xlfn.XLOOKUP(I90,MateriaalDatabank!$B$1:B379,MateriaalDatabank!$D$1:D379,0.0000001)</f>
        <v>9.9999999999999995E-8</v>
      </c>
      <c r="L90" s="135" cm="1">
        <f t="array" ref="L90">_xlfn.XLOOKUP(I90,MateriaalDatabank!$B$1:B379,MateriaalDatabank!$E$1:E379,0.0000001)</f>
        <v>9.9999999999999995E-8</v>
      </c>
      <c r="M90" s="70"/>
      <c r="N90" s="136">
        <f t="shared" si="102"/>
        <v>0</v>
      </c>
      <c r="O90" s="3">
        <f>O89+Q90</f>
        <v>0</v>
      </c>
      <c r="P90" s="3">
        <f t="shared" si="96"/>
        <v>0</v>
      </c>
      <c r="Q90" s="3">
        <f t="shared" si="100"/>
        <v>0</v>
      </c>
      <c r="R90" s="10">
        <f>IF(O90&gt;0.25,0,1)</f>
        <v>1</v>
      </c>
      <c r="S90" s="11">
        <f t="shared" si="97"/>
        <v>1</v>
      </c>
      <c r="T90" s="42">
        <f>IF(S90*M90&gt;0.1-T89-T88-T87-T86,0.1-T89-T88-T87-T86,S90*M90)</f>
        <v>0</v>
      </c>
      <c r="U90" s="42">
        <f>(M86+M87+M88+M89+M90)/M91</f>
        <v>0</v>
      </c>
      <c r="V90" s="43">
        <f>IF(U90&lt;(0.5),1,0)</f>
        <v>1</v>
      </c>
      <c r="W90" s="43">
        <f>IF(V90+V89=1,0.5*M91-M89-M88-M87-M86,M90*V90)</f>
        <v>0</v>
      </c>
      <c r="X90" s="42">
        <f t="shared" si="98"/>
        <v>0</v>
      </c>
      <c r="Y90" s="42">
        <f t="shared" si="101"/>
        <v>0</v>
      </c>
      <c r="Z90" s="46">
        <f>N90*K90*L90*T90/1000</f>
        <v>0</v>
      </c>
      <c r="AA90" s="46">
        <f t="shared" si="99"/>
        <v>0</v>
      </c>
      <c r="AB90" s="47"/>
      <c r="AC90" s="60"/>
      <c r="AD90" s="21"/>
      <c r="AJ90" s="13"/>
    </row>
    <row r="91" spans="1:42" x14ac:dyDescent="0.25">
      <c r="A91" s="1">
        <v>236</v>
      </c>
      <c r="B91" s="1" t="s">
        <v>75</v>
      </c>
      <c r="D91" s="21"/>
      <c r="E91" s="18"/>
      <c r="F91" s="21"/>
      <c r="H91" s="55"/>
      <c r="I91" s="55"/>
      <c r="J91" s="56"/>
      <c r="K91" s="57"/>
      <c r="L91" s="56"/>
      <c r="M91" s="137">
        <f>SUM(M86:M90)+0.00000000000000001</f>
        <v>1.0000000000000001E-17</v>
      </c>
      <c r="N91" s="49">
        <f>N86</f>
        <v>0</v>
      </c>
      <c r="O91" s="57"/>
      <c r="P91" s="137">
        <f>SUM(P86:P90)</f>
        <v>0</v>
      </c>
      <c r="Q91" s="137">
        <f>SUM(Q86:Q90)</f>
        <v>0</v>
      </c>
      <c r="R91" s="57"/>
      <c r="S91" s="57"/>
      <c r="T91" s="137">
        <f>SUM(T86:T90)</f>
        <v>0</v>
      </c>
      <c r="U91" s="137"/>
      <c r="V91" s="138">
        <f>W91/M91</f>
        <v>0</v>
      </c>
      <c r="W91" s="137">
        <f>SUM(W86:W90)</f>
        <v>0</v>
      </c>
      <c r="X91" s="137">
        <f>SUM(X86:X90)</f>
        <v>0</v>
      </c>
      <c r="Y91" s="137"/>
      <c r="Z91" s="58">
        <f>SUM(Z86:Z90)</f>
        <v>0</v>
      </c>
      <c r="AA91" s="58">
        <f>IF(N91&gt;0,Z91/N91,0)</f>
        <v>0</v>
      </c>
      <c r="AB91" s="58">
        <f>Z91/$L$5</f>
        <v>0</v>
      </c>
      <c r="AC91" s="60"/>
      <c r="AD91" s="21"/>
    </row>
    <row r="92" spans="1:42" ht="14.45" customHeight="1" x14ac:dyDescent="0.25">
      <c r="A92" s="1">
        <v>237</v>
      </c>
      <c r="B92" s="1" t="s">
        <v>76</v>
      </c>
      <c r="D92" s="21"/>
      <c r="E92" s="151" t="s">
        <v>136</v>
      </c>
      <c r="F92" s="83" t="s">
        <v>163</v>
      </c>
      <c r="H92" s="127">
        <v>0</v>
      </c>
      <c r="I92" s="52" t="str">
        <f>I85 &amp; " &lt;-- onderzijde (gespiegelde weergave)"</f>
        <v>naam constructie 6 &lt;-- onderzijde (gespiegelde weergave)</v>
      </c>
      <c r="J92" s="53"/>
      <c r="K92" s="53"/>
      <c r="L92" s="53"/>
      <c r="M92" s="53"/>
      <c r="N92" s="54"/>
      <c r="O92" s="2"/>
      <c r="P92" s="2"/>
      <c r="Q92" s="2"/>
      <c r="R92" s="139">
        <v>1</v>
      </c>
      <c r="S92" s="10"/>
      <c r="T92" s="42"/>
      <c r="U92" s="42"/>
      <c r="V92" s="43"/>
      <c r="W92" s="43"/>
      <c r="X92" s="42"/>
      <c r="Y92" s="42"/>
      <c r="Z92" s="48"/>
      <c r="AA92" s="48"/>
      <c r="AB92" s="48"/>
      <c r="AC92" s="60"/>
      <c r="AD92" s="21"/>
    </row>
    <row r="93" spans="1:42" x14ac:dyDescent="0.25">
      <c r="D93" s="21"/>
      <c r="E93" s="151"/>
      <c r="F93" s="21"/>
      <c r="H93" s="53"/>
      <c r="I93" s="140">
        <f>I90</f>
        <v>0</v>
      </c>
      <c r="J93" s="141">
        <f t="shared" ref="J93:M93" si="103">J90</f>
        <v>9.9999999999999995E-8</v>
      </c>
      <c r="K93" s="141">
        <f t="shared" si="103"/>
        <v>9.9999999999999995E-8</v>
      </c>
      <c r="L93" s="141">
        <f t="shared" si="103"/>
        <v>9.9999999999999995E-8</v>
      </c>
      <c r="M93" s="142">
        <f t="shared" si="103"/>
        <v>0</v>
      </c>
      <c r="N93" s="143">
        <f>N86*$H$92</f>
        <v>0</v>
      </c>
      <c r="O93" s="3">
        <f>Q93</f>
        <v>0</v>
      </c>
      <c r="P93" s="3">
        <f>IF(S93&gt;0,S93*M93,0)</f>
        <v>0</v>
      </c>
      <c r="Q93" s="3">
        <f>IF(M93&gt;0,M93/J93,0)</f>
        <v>0</v>
      </c>
      <c r="R93" s="10">
        <f>IF(O93&gt;0.25,0,1)</f>
        <v>1</v>
      </c>
      <c r="S93" s="11">
        <f>IF((R93+R92)=1,((0.25-O92)*J93)/M93,R93)</f>
        <v>1</v>
      </c>
      <c r="T93" s="42">
        <f>IF(S93*M93&gt;0.1,0.1,S93*M93)</f>
        <v>0</v>
      </c>
      <c r="U93" s="42">
        <f>M93/M98</f>
        <v>0</v>
      </c>
      <c r="V93" s="43">
        <f>IF(U93&lt;(0.5),1,0)</f>
        <v>1</v>
      </c>
      <c r="W93" s="41">
        <f>IF(V93+V92=0,0.5*M98,M93*V93)</f>
        <v>0</v>
      </c>
      <c r="X93" s="42">
        <f>IF(J93&gt;0,T93/J93,0)</f>
        <v>0</v>
      </c>
      <c r="Y93" s="42">
        <f>MIN(W93,T93)</f>
        <v>0</v>
      </c>
      <c r="Z93" s="46">
        <f>N93*K93*L93*T93/1000</f>
        <v>0</v>
      </c>
      <c r="AA93" s="46">
        <f>IF(N93&gt;0,Z93/N93,0)</f>
        <v>0</v>
      </c>
      <c r="AB93" s="47"/>
      <c r="AC93" s="60"/>
      <c r="AD93" s="21"/>
      <c r="AK93" s="12"/>
      <c r="AL93" s="12"/>
      <c r="AN93" s="13"/>
      <c r="AO93" s="13"/>
      <c r="AP93" s="13"/>
    </row>
    <row r="94" spans="1:42" x14ac:dyDescent="0.25">
      <c r="A94" s="73" t="s">
        <v>156</v>
      </c>
      <c r="B94" s="73"/>
      <c r="D94" s="21"/>
      <c r="E94" s="151"/>
      <c r="F94" s="21"/>
      <c r="H94" s="144"/>
      <c r="I94" s="140">
        <f>I89</f>
        <v>0</v>
      </c>
      <c r="J94" s="141">
        <f t="shared" ref="J94:M94" si="104">J89</f>
        <v>9.9999999999999995E-8</v>
      </c>
      <c r="K94" s="141">
        <f t="shared" si="104"/>
        <v>9.9999999999999995E-8</v>
      </c>
      <c r="L94" s="141">
        <f t="shared" si="104"/>
        <v>9.9999999999999995E-8</v>
      </c>
      <c r="M94" s="142">
        <f t="shared" si="104"/>
        <v>0</v>
      </c>
      <c r="N94" s="143">
        <f t="shared" ref="N94:N97" si="105">N87*$H$92</f>
        <v>0</v>
      </c>
      <c r="O94" s="3">
        <f>O93+Q94</f>
        <v>0</v>
      </c>
      <c r="P94" s="3">
        <f t="shared" ref="P94:P97" si="106">IF(S94&gt;0,S94*M94,0)</f>
        <v>0</v>
      </c>
      <c r="Q94" s="3">
        <f>IF(M94&gt;0,M94/J94,0)</f>
        <v>0</v>
      </c>
      <c r="R94" s="10">
        <f>IF(O94&gt;0.25,0,1)</f>
        <v>1</v>
      </c>
      <c r="S94" s="11">
        <f t="shared" ref="S94:S97" si="107">IF((R94+R93)=1,((0.25-O93)*J94)/M94,R94)</f>
        <v>1</v>
      </c>
      <c r="T94" s="42">
        <f>IF(S94*M94&gt;0.1-T93,0.1-T93,S94*M94)</f>
        <v>0</v>
      </c>
      <c r="U94" s="42">
        <f>(M93+M94)/M98</f>
        <v>0</v>
      </c>
      <c r="V94" s="43">
        <f>IF(U94&lt;(0.5),1,0)</f>
        <v>1</v>
      </c>
      <c r="W94" s="43">
        <f>IF(V94+V93=1,0.5*M98-M93,M94*V94)</f>
        <v>0</v>
      </c>
      <c r="X94" s="42">
        <f t="shared" ref="X94:X97" si="108">IF(J94&gt;0,T94/J94,0)</f>
        <v>0</v>
      </c>
      <c r="Y94" s="42">
        <f>MIN(W94,T94)</f>
        <v>0</v>
      </c>
      <c r="Z94" s="46">
        <f>N94*K94*L94*T94/1000</f>
        <v>0</v>
      </c>
      <c r="AA94" s="46">
        <f t="shared" ref="AA94:AA97" si="109">IF(N94&gt;0,Z94/N94,0)</f>
        <v>0</v>
      </c>
      <c r="AB94" s="47"/>
      <c r="AC94" s="60"/>
      <c r="AD94" s="21"/>
    </row>
    <row r="95" spans="1:42" x14ac:dyDescent="0.25">
      <c r="A95" s="1">
        <v>240</v>
      </c>
      <c r="B95" s="1" t="s">
        <v>176</v>
      </c>
      <c r="D95" s="21"/>
      <c r="E95" s="151"/>
      <c r="F95" s="21"/>
      <c r="H95" s="144"/>
      <c r="I95" s="140">
        <f>I88</f>
        <v>0</v>
      </c>
      <c r="J95" s="141">
        <f t="shared" ref="J95:M95" si="110">J88</f>
        <v>9.9999999999999995E-8</v>
      </c>
      <c r="K95" s="141">
        <f t="shared" si="110"/>
        <v>9.9999999999999995E-8</v>
      </c>
      <c r="L95" s="141">
        <f t="shared" si="110"/>
        <v>9.9999999999999995E-8</v>
      </c>
      <c r="M95" s="142">
        <f t="shared" si="110"/>
        <v>0</v>
      </c>
      <c r="N95" s="143">
        <f t="shared" si="105"/>
        <v>0</v>
      </c>
      <c r="O95" s="3">
        <f>O94+Q95</f>
        <v>0</v>
      </c>
      <c r="P95" s="3">
        <f t="shared" si="106"/>
        <v>0</v>
      </c>
      <c r="Q95" s="3">
        <f t="shared" ref="Q95:Q97" si="111">IF(M95&gt;0,M95/J95,0)</f>
        <v>0</v>
      </c>
      <c r="R95" s="10">
        <f>IF(O95&gt;0.25,0,1)</f>
        <v>1</v>
      </c>
      <c r="S95" s="11">
        <f t="shared" si="107"/>
        <v>1</v>
      </c>
      <c r="T95" s="42">
        <f>IF(S95*M95&gt;0.1-T94-T93,0.1-T94-T93,S95*M95)</f>
        <v>0</v>
      </c>
      <c r="U95" s="42">
        <f>(M93+M94+M95)/M98</f>
        <v>0</v>
      </c>
      <c r="V95" s="43">
        <f>IF(U95&lt;(0.5),1,0)</f>
        <v>1</v>
      </c>
      <c r="W95" s="43">
        <f>IF(V95+V94=1,0.5*M98-M94-M93,M95*V95)</f>
        <v>0</v>
      </c>
      <c r="X95" s="42">
        <f t="shared" si="108"/>
        <v>0</v>
      </c>
      <c r="Y95" s="42">
        <f t="shared" ref="Y95:Y97" si="112">MIN(W95,T95)</f>
        <v>0</v>
      </c>
      <c r="Z95" s="46">
        <f>N95*K95*L95*T95/1000</f>
        <v>0</v>
      </c>
      <c r="AA95" s="46">
        <f t="shared" si="109"/>
        <v>0</v>
      </c>
      <c r="AB95" s="47"/>
      <c r="AC95" s="60"/>
      <c r="AD95" s="21"/>
    </row>
    <row r="96" spans="1:42" x14ac:dyDescent="0.25">
      <c r="A96" s="1">
        <v>241</v>
      </c>
      <c r="B96" s="1" t="s">
        <v>177</v>
      </c>
      <c r="D96" s="21"/>
      <c r="E96" s="151"/>
      <c r="F96" s="21"/>
      <c r="H96" s="144"/>
      <c r="I96" s="140">
        <f>I87</f>
        <v>0</v>
      </c>
      <c r="J96" s="141">
        <f t="shared" ref="J96:M96" si="113">J87</f>
        <v>9.9999999999999995E-8</v>
      </c>
      <c r="K96" s="141">
        <f t="shared" si="113"/>
        <v>9.9999999999999995E-8</v>
      </c>
      <c r="L96" s="141">
        <f t="shared" si="113"/>
        <v>9.9999999999999995E-8</v>
      </c>
      <c r="M96" s="142">
        <f t="shared" si="113"/>
        <v>0</v>
      </c>
      <c r="N96" s="143">
        <f t="shared" si="105"/>
        <v>0</v>
      </c>
      <c r="O96" s="3">
        <f>O95+Q96</f>
        <v>0</v>
      </c>
      <c r="P96" s="3">
        <f t="shared" si="106"/>
        <v>0</v>
      </c>
      <c r="Q96" s="3">
        <f t="shared" si="111"/>
        <v>0</v>
      </c>
      <c r="R96" s="10">
        <f>IF(O96&gt;0.25,0,1)</f>
        <v>1</v>
      </c>
      <c r="S96" s="11">
        <f t="shared" si="107"/>
        <v>1</v>
      </c>
      <c r="T96" s="42">
        <f>IF(S96*M96&gt;0.1-T95-T94-T93,0.1-T95-T94-T93,S96*M96)</f>
        <v>0</v>
      </c>
      <c r="U96" s="42">
        <f>(M93+M94+M95+M96)/M98</f>
        <v>0</v>
      </c>
      <c r="V96" s="43">
        <f>IF(U96&lt;(0.5),1,0)</f>
        <v>1</v>
      </c>
      <c r="W96" s="43">
        <f>IF(V96+V95=1,0.5*M98-M95-M94-M93,M96*V96)</f>
        <v>0</v>
      </c>
      <c r="X96" s="42">
        <f t="shared" si="108"/>
        <v>0</v>
      </c>
      <c r="Y96" s="42">
        <f t="shared" si="112"/>
        <v>0</v>
      </c>
      <c r="Z96" s="46">
        <f>N96*K96*L96*T96/1000</f>
        <v>0</v>
      </c>
      <c r="AA96" s="46">
        <f t="shared" si="109"/>
        <v>0</v>
      </c>
      <c r="AB96" s="47"/>
      <c r="AC96" s="60"/>
      <c r="AD96" s="21"/>
    </row>
    <row r="97" spans="1:30" x14ac:dyDescent="0.25">
      <c r="A97" s="1">
        <v>242</v>
      </c>
      <c r="B97" s="1" t="s">
        <v>78</v>
      </c>
      <c r="D97" s="21"/>
      <c r="E97" s="151"/>
      <c r="F97" s="21"/>
      <c r="H97" s="144"/>
      <c r="I97" s="140">
        <f>I86</f>
        <v>0</v>
      </c>
      <c r="J97" s="141">
        <f t="shared" ref="J97:M97" si="114">J86</f>
        <v>9.9999999999999995E-8</v>
      </c>
      <c r="K97" s="141">
        <f t="shared" si="114"/>
        <v>9.9999999999999995E-8</v>
      </c>
      <c r="L97" s="141">
        <f t="shared" si="114"/>
        <v>9.9999999999999995E-8</v>
      </c>
      <c r="M97" s="142">
        <f t="shared" si="114"/>
        <v>0</v>
      </c>
      <c r="N97" s="143">
        <f t="shared" si="105"/>
        <v>0</v>
      </c>
      <c r="O97" s="3">
        <f>O96+Q97</f>
        <v>0</v>
      </c>
      <c r="P97" s="3">
        <f t="shared" si="106"/>
        <v>0</v>
      </c>
      <c r="Q97" s="3">
        <f t="shared" si="111"/>
        <v>0</v>
      </c>
      <c r="R97" s="10">
        <f>IF(O97&gt;0.25,0,1)</f>
        <v>1</v>
      </c>
      <c r="S97" s="11">
        <f t="shared" si="107"/>
        <v>1</v>
      </c>
      <c r="T97" s="42">
        <f>IF(S97*M97&gt;0.1-T96-T95-T94-T93,0.1-T96-T95-T94-T93,S97*M97)</f>
        <v>0</v>
      </c>
      <c r="U97" s="42">
        <f>(M93+M94+M95+M96+M97)/M98</f>
        <v>0</v>
      </c>
      <c r="V97" s="43">
        <f>IF(U97&lt;(0.5),1,0)</f>
        <v>1</v>
      </c>
      <c r="W97" s="43">
        <f>IF(V97+V96=1,0.5*M98-M96-M95-M94-M93,M97*V97)</f>
        <v>0</v>
      </c>
      <c r="X97" s="42">
        <f t="shared" si="108"/>
        <v>0</v>
      </c>
      <c r="Y97" s="42">
        <f t="shared" si="112"/>
        <v>0</v>
      </c>
      <c r="Z97" s="46">
        <f>N97*K97*L97*T97/1000</f>
        <v>0</v>
      </c>
      <c r="AA97" s="46">
        <f t="shared" si="109"/>
        <v>0</v>
      </c>
      <c r="AB97" s="47"/>
      <c r="AC97" s="60"/>
      <c r="AD97" s="21"/>
    </row>
    <row r="98" spans="1:30" x14ac:dyDescent="0.25">
      <c r="A98" s="1">
        <v>243</v>
      </c>
      <c r="B98" s="1" t="s">
        <v>79</v>
      </c>
      <c r="D98" s="21"/>
      <c r="E98" s="21"/>
      <c r="F98" s="21"/>
      <c r="H98" s="55"/>
      <c r="I98" s="55"/>
      <c r="J98" s="56"/>
      <c r="K98" s="57"/>
      <c r="L98" s="56"/>
      <c r="M98" s="137">
        <f>SUM(M93:M97)+0.00000000000000001</f>
        <v>1.0000000000000001E-17</v>
      </c>
      <c r="N98" s="49">
        <f>N93</f>
        <v>0</v>
      </c>
      <c r="O98" s="57"/>
      <c r="P98" s="137">
        <f>SUM(P93:P97)</f>
        <v>0</v>
      </c>
      <c r="Q98" s="137">
        <f>SUM(Q93:Q97)</f>
        <v>0</v>
      </c>
      <c r="R98" s="57"/>
      <c r="S98" s="57"/>
      <c r="T98" s="137">
        <f>SUM(T93:T97)</f>
        <v>0</v>
      </c>
      <c r="U98" s="137"/>
      <c r="V98" s="138">
        <f>W98/M98</f>
        <v>0</v>
      </c>
      <c r="W98" s="137">
        <f>SUM(W93:W97)</f>
        <v>0</v>
      </c>
      <c r="X98" s="137">
        <f>SUM(X93:X97)</f>
        <v>0</v>
      </c>
      <c r="Y98" s="137"/>
      <c r="Z98" s="58">
        <f>SUM(Z93:Z97)</f>
        <v>0</v>
      </c>
      <c r="AA98" s="58">
        <f>IF(N98&gt;0,Z98/N98,0)</f>
        <v>0</v>
      </c>
      <c r="AB98" s="58">
        <f>Z98/$L$5</f>
        <v>0</v>
      </c>
      <c r="AC98" s="60"/>
      <c r="AD98" s="90" t="s">
        <v>213</v>
      </c>
    </row>
    <row r="99" spans="1:30" x14ac:dyDescent="0.25">
      <c r="A99" s="1">
        <v>244</v>
      </c>
      <c r="B99" s="1" t="s">
        <v>80</v>
      </c>
      <c r="D99" s="21"/>
      <c r="E99" s="21"/>
      <c r="F99" s="21"/>
      <c r="G99" s="21"/>
      <c r="H99" s="25"/>
      <c r="I99" s="26"/>
      <c r="J99" s="27"/>
      <c r="K99" s="28"/>
      <c r="L99" s="27"/>
      <c r="M99" s="147"/>
      <c r="N99" s="148"/>
      <c r="O99" s="28"/>
      <c r="P99" s="147"/>
      <c r="Q99" s="147"/>
      <c r="R99" s="28"/>
      <c r="S99" s="28"/>
      <c r="T99" s="147"/>
      <c r="U99" s="147"/>
      <c r="V99" s="147"/>
      <c r="W99" s="147"/>
      <c r="X99" s="147"/>
      <c r="Y99" s="147"/>
      <c r="Z99" s="29"/>
      <c r="AA99" s="29"/>
      <c r="AB99" s="29"/>
      <c r="AC99" s="25"/>
      <c r="AD99" s="91" t="s">
        <v>212</v>
      </c>
    </row>
    <row r="102" spans="1:30" x14ac:dyDescent="0.25">
      <c r="A102" s="66" t="s">
        <v>162</v>
      </c>
      <c r="B102" s="66"/>
      <c r="C102" s="66"/>
    </row>
    <row r="103" spans="1:30" x14ac:dyDescent="0.25">
      <c r="A103" s="66" t="s">
        <v>161</v>
      </c>
      <c r="B103" s="66"/>
      <c r="C103" s="66"/>
    </row>
    <row r="104" spans="1:30" x14ac:dyDescent="0.25">
      <c r="A104" s="66" t="s">
        <v>160</v>
      </c>
      <c r="B104" s="66"/>
      <c r="C104" s="66"/>
    </row>
  </sheetData>
  <sheetProtection algorithmName="SHA-512" hashValue="/+V6jQ72KoX00FMP4ePD1LPYwRQMcBjzL5HY5R3qKejX2eeR7SGgvNg2HTjciF/h+z28AP3c+o+EHxorA3aZfQ==" saltValue="LpsL2aFdIo6Mj4C1su67mw==" spinCount="100000" sheet="1" objects="1" scenarios="1"/>
  <mergeCells count="13">
    <mergeCell ref="E92:E97"/>
    <mergeCell ref="E47:E52"/>
    <mergeCell ref="E55:E60"/>
    <mergeCell ref="E62:E67"/>
    <mergeCell ref="E70:E75"/>
    <mergeCell ref="E77:E82"/>
    <mergeCell ref="E85:E90"/>
    <mergeCell ref="E40:E45"/>
    <mergeCell ref="H5:I5"/>
    <mergeCell ref="E10:E15"/>
    <mergeCell ref="E17:E22"/>
    <mergeCell ref="E25:E30"/>
    <mergeCell ref="E32:E37"/>
  </mergeCells>
  <conditionalFormatting sqref="X10:Y15 X18:Y22">
    <cfRule type="cellIs" dxfId="399" priority="391" operator="lessThan">
      <formula>0.000001</formula>
    </cfRule>
  </conditionalFormatting>
  <conditionalFormatting sqref="M14:M15 N11:AA11 O12:AA15">
    <cfRule type="cellIs" dxfId="398" priority="390" operator="lessThan">
      <formula>0.0000001</formula>
    </cfRule>
  </conditionalFormatting>
  <conditionalFormatting sqref="O18:P22 R18:T22 X18:Y22">
    <cfRule type="cellIs" dxfId="397" priority="389" operator="lessThan">
      <formula>0.0000001</formula>
    </cfRule>
  </conditionalFormatting>
  <conditionalFormatting sqref="AA18:AA22">
    <cfRule type="cellIs" dxfId="396" priority="388" operator="lessThan">
      <formula>0.0000001</formula>
    </cfRule>
  </conditionalFormatting>
  <conditionalFormatting sqref="N26:P26 Z26:Z30 M29:M30 O27:P30 R26:T30">
    <cfRule type="cellIs" dxfId="395" priority="382" operator="lessThan">
      <formula>0.0000001</formula>
    </cfRule>
  </conditionalFormatting>
  <conditionalFormatting sqref="T16:U16 W16">
    <cfRule type="cellIs" dxfId="394" priority="387" operator="equal">
      <formula>0.1</formula>
    </cfRule>
  </conditionalFormatting>
  <conditionalFormatting sqref="Q16">
    <cfRule type="cellIs" dxfId="393" priority="385" operator="equal">
      <formula>0.25</formula>
    </cfRule>
    <cfRule type="cellIs" dxfId="392" priority="386" operator="equal">
      <formula>0.1</formula>
    </cfRule>
  </conditionalFormatting>
  <conditionalFormatting sqref="X16:Y16">
    <cfRule type="cellIs" dxfId="391" priority="384" operator="lessThan">
      <formula>0.000001</formula>
    </cfRule>
  </conditionalFormatting>
  <conditionalFormatting sqref="X16:Y16">
    <cfRule type="cellIs" dxfId="390" priority="383" operator="equal">
      <formula>0.25</formula>
    </cfRule>
  </conditionalFormatting>
  <conditionalFormatting sqref="Z78:Z82 O78:P82 R78:T82">
    <cfRule type="cellIs" dxfId="389" priority="368" operator="lessThan">
      <formula>0.0000001</formula>
    </cfRule>
  </conditionalFormatting>
  <conditionalFormatting sqref="AA26:AA30">
    <cfRule type="cellIs" dxfId="388" priority="381" operator="lessThan">
      <formula>0.0000001</formula>
    </cfRule>
  </conditionalFormatting>
  <conditionalFormatting sqref="Z33:Z37 O33:P37 R33:T37">
    <cfRule type="cellIs" dxfId="387" priority="380" operator="lessThan">
      <formula>0.0000001</formula>
    </cfRule>
  </conditionalFormatting>
  <conditionalFormatting sqref="AA33:AA37">
    <cfRule type="cellIs" dxfId="386" priority="379" operator="lessThan">
      <formula>0.0000001</formula>
    </cfRule>
  </conditionalFormatting>
  <conditionalFormatting sqref="X23:Y24">
    <cfRule type="cellIs" dxfId="385" priority="357" operator="equal">
      <formula>0.25</formula>
    </cfRule>
  </conditionalFormatting>
  <conditionalFormatting sqref="X53:X54">
    <cfRule type="cellIs" dxfId="384" priority="335" operator="lessThan">
      <formula>0.000001</formula>
    </cfRule>
  </conditionalFormatting>
  <conditionalFormatting sqref="N41:P41 Z41:Z45 O42:P45 R41:T45">
    <cfRule type="cellIs" dxfId="383" priority="378" operator="lessThan">
      <formula>0.0000001</formula>
    </cfRule>
  </conditionalFormatting>
  <conditionalFormatting sqref="AA41:AA45">
    <cfRule type="cellIs" dxfId="382" priority="377" operator="lessThan">
      <formula>0.0000001</formula>
    </cfRule>
  </conditionalFormatting>
  <conditionalFormatting sqref="N86:P86 Z86:Z90 O87:P90 R86:T90">
    <cfRule type="cellIs" dxfId="381" priority="366" operator="lessThan">
      <formula>0.0000001</formula>
    </cfRule>
  </conditionalFormatting>
  <conditionalFormatting sqref="AA86:AA90">
    <cfRule type="cellIs" dxfId="380" priority="365" operator="lessThan">
      <formula>0.0000001</formula>
    </cfRule>
  </conditionalFormatting>
  <conditionalFormatting sqref="T31">
    <cfRule type="cellIs" dxfId="379" priority="355" operator="equal">
      <formula>0.1</formula>
    </cfRule>
  </conditionalFormatting>
  <conditionalFormatting sqref="Q31">
    <cfRule type="cellIs" dxfId="378" priority="353" operator="equal">
      <formula>0.25</formula>
    </cfRule>
    <cfRule type="cellIs" dxfId="377" priority="354" operator="equal">
      <formula>0.1</formula>
    </cfRule>
  </conditionalFormatting>
  <conditionalFormatting sqref="Z48:Z52 O48:P52 R48:T52">
    <cfRule type="cellIs" dxfId="376" priority="376" operator="lessThan">
      <formula>0.0000001</formula>
    </cfRule>
  </conditionalFormatting>
  <conditionalFormatting sqref="AA48:AA52">
    <cfRule type="cellIs" dxfId="375" priority="375" operator="lessThan">
      <formula>0.0000001</formula>
    </cfRule>
  </conditionalFormatting>
  <conditionalFormatting sqref="AA78:AA82">
    <cfRule type="cellIs" dxfId="374" priority="367" operator="lessThan">
      <formula>0.0000001</formula>
    </cfRule>
  </conditionalFormatting>
  <conditionalFormatting sqref="N56:P56 Z56:Z60 O57:P60 R56:T60">
    <cfRule type="cellIs" dxfId="373" priority="374" operator="lessThan">
      <formula>0.0000001</formula>
    </cfRule>
  </conditionalFormatting>
  <conditionalFormatting sqref="Z93:Z97 O93:P97 R93:T97">
    <cfRule type="cellIs" dxfId="372" priority="364" operator="lessThan">
      <formula>0.0000001</formula>
    </cfRule>
  </conditionalFormatting>
  <conditionalFormatting sqref="AA56:AA60">
    <cfRule type="cellIs" dxfId="371" priority="373" operator="lessThan">
      <formula>0.0000001</formula>
    </cfRule>
  </conditionalFormatting>
  <conditionalFormatting sqref="AA93:AA97">
    <cfRule type="cellIs" dxfId="370" priority="363" operator="lessThan">
      <formula>0.0000001</formula>
    </cfRule>
  </conditionalFormatting>
  <conditionalFormatting sqref="X83:X84">
    <cfRule type="cellIs" dxfId="369" priority="311" operator="lessThan">
      <formula>0.000001</formula>
    </cfRule>
  </conditionalFormatting>
  <conditionalFormatting sqref="Z63:Z67 O63:P67 R63:T67">
    <cfRule type="cellIs" dxfId="368" priority="372" operator="lessThan">
      <formula>0.0000001</formula>
    </cfRule>
  </conditionalFormatting>
  <conditionalFormatting sqref="AA63:AA67">
    <cfRule type="cellIs" dxfId="367" priority="371" operator="lessThan">
      <formula>0.0000001</formula>
    </cfRule>
  </conditionalFormatting>
  <conditionalFormatting sqref="N71:P71 Z71:Z75 O72:P75 R71:T75">
    <cfRule type="cellIs" dxfId="366" priority="370" operator="lessThan">
      <formula>0.0000001</formula>
    </cfRule>
  </conditionalFormatting>
  <conditionalFormatting sqref="N16">
    <cfRule type="cellIs" dxfId="365" priority="362" operator="lessThan">
      <formula>0.0000001</formula>
    </cfRule>
  </conditionalFormatting>
  <conditionalFormatting sqref="AA71:AA75">
    <cfRule type="cellIs" dxfId="364" priority="369" operator="lessThan">
      <formula>0.0000001</formula>
    </cfRule>
  </conditionalFormatting>
  <conditionalFormatting sqref="N23:N24">
    <cfRule type="cellIs" dxfId="363" priority="356" operator="lessThan">
      <formula>0.0000001</formula>
    </cfRule>
  </conditionalFormatting>
  <conditionalFormatting sqref="Q23:Q24">
    <cfRule type="cellIs" dxfId="362" priority="359" operator="equal">
      <formula>0.25</formula>
    </cfRule>
    <cfRule type="cellIs" dxfId="361" priority="360" operator="equal">
      <formula>0.1</formula>
    </cfRule>
  </conditionalFormatting>
  <conditionalFormatting sqref="X61">
    <cfRule type="cellIs" dxfId="360" priority="328" operator="equal">
      <formula>0.25</formula>
    </cfRule>
  </conditionalFormatting>
  <conditionalFormatting sqref="X78:X82">
    <cfRule type="cellIs" dxfId="359" priority="274" operator="lessThan">
      <formula>0.000001</formula>
    </cfRule>
  </conditionalFormatting>
  <conditionalFormatting sqref="N31">
    <cfRule type="cellIs" dxfId="358" priority="350" operator="lessThan">
      <formula>0.0000001</formula>
    </cfRule>
  </conditionalFormatting>
  <conditionalFormatting sqref="T68:T69">
    <cfRule type="cellIs" dxfId="357" priority="326" operator="equal">
      <formula>0.1</formula>
    </cfRule>
  </conditionalFormatting>
  <conditionalFormatting sqref="Q68:Q69">
    <cfRule type="cellIs" dxfId="356" priority="324" operator="equal">
      <formula>0.25</formula>
    </cfRule>
    <cfRule type="cellIs" dxfId="355" priority="325" operator="equal">
      <formula>0.1</formula>
    </cfRule>
  </conditionalFormatting>
  <conditionalFormatting sqref="T23:U24">
    <cfRule type="cellIs" dxfId="354" priority="361" operator="equal">
      <formula>0.1</formula>
    </cfRule>
  </conditionalFormatting>
  <conditionalFormatting sqref="X23:Y24">
    <cfRule type="cellIs" dxfId="353" priority="358" operator="lessThan">
      <formula>0.000001</formula>
    </cfRule>
  </conditionalFormatting>
  <conditionalFormatting sqref="X31">
    <cfRule type="cellIs" dxfId="352" priority="352" operator="lessThan">
      <formula>0.000001</formula>
    </cfRule>
  </conditionalFormatting>
  <conditionalFormatting sqref="X31">
    <cfRule type="cellIs" dxfId="351" priority="351" operator="equal">
      <formula>0.25</formula>
    </cfRule>
  </conditionalFormatting>
  <conditionalFormatting sqref="T38:T39">
    <cfRule type="cellIs" dxfId="350" priority="349" operator="equal">
      <formula>0.1</formula>
    </cfRule>
  </conditionalFormatting>
  <conditionalFormatting sqref="Q38:Q39">
    <cfRule type="cellIs" dxfId="349" priority="347" operator="equal">
      <formula>0.25</formula>
    </cfRule>
    <cfRule type="cellIs" dxfId="348" priority="348" operator="equal">
      <formula>0.1</formula>
    </cfRule>
  </conditionalFormatting>
  <conditionalFormatting sqref="X38:X39">
    <cfRule type="cellIs" dxfId="347" priority="346" operator="lessThan">
      <formula>0.000001</formula>
    </cfRule>
  </conditionalFormatting>
  <conditionalFormatting sqref="X38:X39">
    <cfRule type="cellIs" dxfId="346" priority="345" operator="equal">
      <formula>0.25</formula>
    </cfRule>
  </conditionalFormatting>
  <conditionalFormatting sqref="N38:N39">
    <cfRule type="cellIs" dxfId="345" priority="344" operator="lessThan">
      <formula>0.0000001</formula>
    </cfRule>
  </conditionalFormatting>
  <conditionalFormatting sqref="T46">
    <cfRule type="cellIs" dxfId="344" priority="343" operator="equal">
      <formula>0.1</formula>
    </cfRule>
  </conditionalFormatting>
  <conditionalFormatting sqref="Q46">
    <cfRule type="cellIs" dxfId="343" priority="341" operator="equal">
      <formula>0.25</formula>
    </cfRule>
    <cfRule type="cellIs" dxfId="342" priority="342" operator="equal">
      <formula>0.1</formula>
    </cfRule>
  </conditionalFormatting>
  <conditionalFormatting sqref="X46">
    <cfRule type="cellIs" dxfId="341" priority="340" operator="lessThan">
      <formula>0.000001</formula>
    </cfRule>
  </conditionalFormatting>
  <conditionalFormatting sqref="X46">
    <cfRule type="cellIs" dxfId="340" priority="339" operator="equal">
      <formula>0.25</formula>
    </cfRule>
  </conditionalFormatting>
  <conditionalFormatting sqref="N53:N54">
    <cfRule type="cellIs" dxfId="339" priority="333" operator="lessThan">
      <formula>0.0000001</formula>
    </cfRule>
  </conditionalFormatting>
  <conditionalFormatting sqref="T53:T54">
    <cfRule type="cellIs" dxfId="338" priority="338" operator="equal">
      <formula>0.1</formula>
    </cfRule>
  </conditionalFormatting>
  <conditionalFormatting sqref="Q53:Q54">
    <cfRule type="cellIs" dxfId="337" priority="336" operator="equal">
      <formula>0.25</formula>
    </cfRule>
    <cfRule type="cellIs" dxfId="336" priority="337" operator="equal">
      <formula>0.1</formula>
    </cfRule>
  </conditionalFormatting>
  <conditionalFormatting sqref="X53:X54">
    <cfRule type="cellIs" dxfId="335" priority="334" operator="equal">
      <formula>0.25</formula>
    </cfRule>
  </conditionalFormatting>
  <conditionalFormatting sqref="T61">
    <cfRule type="cellIs" dxfId="334" priority="332" operator="equal">
      <formula>0.1</formula>
    </cfRule>
  </conditionalFormatting>
  <conditionalFormatting sqref="Q61">
    <cfRule type="cellIs" dxfId="333" priority="330" operator="equal">
      <formula>0.25</formula>
    </cfRule>
    <cfRule type="cellIs" dxfId="332" priority="331" operator="equal">
      <formula>0.1</formula>
    </cfRule>
  </conditionalFormatting>
  <conditionalFormatting sqref="X61">
    <cfRule type="cellIs" dxfId="331" priority="329" operator="lessThan">
      <formula>0.000001</formula>
    </cfRule>
  </conditionalFormatting>
  <conditionalFormatting sqref="N61">
    <cfRule type="cellIs" dxfId="330" priority="327" operator="lessThan">
      <formula>0.0000001</formula>
    </cfRule>
  </conditionalFormatting>
  <conditionalFormatting sqref="X68:X69">
    <cfRule type="cellIs" dxfId="329" priority="323" operator="lessThan">
      <formula>0.000001</formula>
    </cfRule>
  </conditionalFormatting>
  <conditionalFormatting sqref="X68:X69">
    <cfRule type="cellIs" dxfId="328" priority="322" operator="equal">
      <formula>0.25</formula>
    </cfRule>
  </conditionalFormatting>
  <conditionalFormatting sqref="N68:N69">
    <cfRule type="cellIs" dxfId="327" priority="321" operator="lessThan">
      <formula>0.0000001</formula>
    </cfRule>
  </conditionalFormatting>
  <conditionalFormatting sqref="T76">
    <cfRule type="cellIs" dxfId="326" priority="320" operator="equal">
      <formula>0.1</formula>
    </cfRule>
  </conditionalFormatting>
  <conditionalFormatting sqref="Q76">
    <cfRule type="cellIs" dxfId="325" priority="318" operator="equal">
      <formula>0.25</formula>
    </cfRule>
    <cfRule type="cellIs" dxfId="324" priority="319" operator="equal">
      <formula>0.1</formula>
    </cfRule>
  </conditionalFormatting>
  <conditionalFormatting sqref="X76">
    <cfRule type="cellIs" dxfId="323" priority="317" operator="lessThan">
      <formula>0.000001</formula>
    </cfRule>
  </conditionalFormatting>
  <conditionalFormatting sqref="X76">
    <cfRule type="cellIs" dxfId="322" priority="316" operator="equal">
      <formula>0.25</formula>
    </cfRule>
  </conditionalFormatting>
  <conditionalFormatting sqref="N76">
    <cfRule type="cellIs" dxfId="321" priority="315" operator="lessThan">
      <formula>0.0000001</formula>
    </cfRule>
  </conditionalFormatting>
  <conditionalFormatting sqref="T83:T84">
    <cfRule type="cellIs" dxfId="320" priority="314" operator="equal">
      <formula>0.1</formula>
    </cfRule>
  </conditionalFormatting>
  <conditionalFormatting sqref="Q83:Q84">
    <cfRule type="cellIs" dxfId="319" priority="312" operator="equal">
      <formula>0.25</formula>
    </cfRule>
    <cfRule type="cellIs" dxfId="318" priority="313" operator="equal">
      <formula>0.1</formula>
    </cfRule>
  </conditionalFormatting>
  <conditionalFormatting sqref="X83:X84">
    <cfRule type="cellIs" dxfId="317" priority="310" operator="equal">
      <formula>0.25</formula>
    </cfRule>
  </conditionalFormatting>
  <conditionalFormatting sqref="N83:N84">
    <cfRule type="cellIs" dxfId="316" priority="309" operator="lessThan">
      <formula>0.0000001</formula>
    </cfRule>
  </conditionalFormatting>
  <conditionalFormatting sqref="T91">
    <cfRule type="cellIs" dxfId="315" priority="308" operator="equal">
      <formula>0.1</formula>
    </cfRule>
  </conditionalFormatting>
  <conditionalFormatting sqref="Q91">
    <cfRule type="cellIs" dxfId="314" priority="306" operator="equal">
      <formula>0.25</formula>
    </cfRule>
    <cfRule type="cellIs" dxfId="313" priority="307" operator="equal">
      <formula>0.1</formula>
    </cfRule>
  </conditionalFormatting>
  <conditionalFormatting sqref="X91">
    <cfRule type="cellIs" dxfId="312" priority="305" operator="lessThan">
      <formula>0.000001</formula>
    </cfRule>
  </conditionalFormatting>
  <conditionalFormatting sqref="X91">
    <cfRule type="cellIs" dxfId="311" priority="304" operator="equal">
      <formula>0.25</formula>
    </cfRule>
  </conditionalFormatting>
  <conditionalFormatting sqref="N91">
    <cfRule type="cellIs" dxfId="310" priority="303" operator="lessThan">
      <formula>0.0000001</formula>
    </cfRule>
  </conditionalFormatting>
  <conditionalFormatting sqref="T99:W99 T98">
    <cfRule type="cellIs" dxfId="309" priority="302" operator="equal">
      <formula>0.1</formula>
    </cfRule>
  </conditionalFormatting>
  <conditionalFormatting sqref="Q98:Q99">
    <cfRule type="cellIs" dxfId="308" priority="300" operator="equal">
      <formula>0.25</formula>
    </cfRule>
    <cfRule type="cellIs" dxfId="307" priority="301" operator="equal">
      <formula>0.1</formula>
    </cfRule>
  </conditionalFormatting>
  <conditionalFormatting sqref="X99:Y99 X98">
    <cfRule type="cellIs" dxfId="306" priority="299" operator="lessThan">
      <formula>0.000001</formula>
    </cfRule>
  </conditionalFormatting>
  <conditionalFormatting sqref="X99:Y99 X98">
    <cfRule type="cellIs" dxfId="305" priority="298" operator="equal">
      <formula>0.25</formula>
    </cfRule>
  </conditionalFormatting>
  <conditionalFormatting sqref="N98:N99">
    <cfRule type="cellIs" dxfId="304" priority="297" operator="lessThan">
      <formula>0.0000001</formula>
    </cfRule>
  </conditionalFormatting>
  <conditionalFormatting sqref="X18:Y22">
    <cfRule type="cellIs" dxfId="303" priority="296" operator="lessThan">
      <formula>0.0000001</formula>
    </cfRule>
  </conditionalFormatting>
  <conditionalFormatting sqref="X26:X30">
    <cfRule type="cellIs" dxfId="302" priority="295" operator="lessThan">
      <formula>0.000001</formula>
    </cfRule>
  </conditionalFormatting>
  <conditionalFormatting sqref="X26:X30">
    <cfRule type="cellIs" dxfId="301" priority="294" operator="lessThan">
      <formula>0.0000001</formula>
    </cfRule>
  </conditionalFormatting>
  <conditionalFormatting sqref="X26:X30">
    <cfRule type="cellIs" dxfId="300" priority="293" operator="lessThan">
      <formula>0.0000001</formula>
    </cfRule>
  </conditionalFormatting>
  <conditionalFormatting sqref="X33:X37">
    <cfRule type="cellIs" dxfId="299" priority="292" operator="lessThan">
      <formula>0.000001</formula>
    </cfRule>
  </conditionalFormatting>
  <conditionalFormatting sqref="X33:X37">
    <cfRule type="cellIs" dxfId="298" priority="291" operator="lessThan">
      <formula>0.0000001</formula>
    </cfRule>
  </conditionalFormatting>
  <conditionalFormatting sqref="X33:X37">
    <cfRule type="cellIs" dxfId="297" priority="290" operator="lessThan">
      <formula>0.0000001</formula>
    </cfRule>
  </conditionalFormatting>
  <conditionalFormatting sqref="X41:X45">
    <cfRule type="cellIs" dxfId="296" priority="289" operator="lessThan">
      <formula>0.000001</formula>
    </cfRule>
  </conditionalFormatting>
  <conditionalFormatting sqref="X41:X45">
    <cfRule type="cellIs" dxfId="295" priority="288" operator="lessThan">
      <formula>0.0000001</formula>
    </cfRule>
  </conditionalFormatting>
  <conditionalFormatting sqref="X41:X45">
    <cfRule type="cellIs" dxfId="294" priority="287" operator="lessThan">
      <formula>0.0000001</formula>
    </cfRule>
  </conditionalFormatting>
  <conditionalFormatting sqref="X48:X52">
    <cfRule type="cellIs" dxfId="293" priority="286" operator="lessThan">
      <formula>0.000001</formula>
    </cfRule>
  </conditionalFormatting>
  <conditionalFormatting sqref="X48:X52">
    <cfRule type="cellIs" dxfId="292" priority="285" operator="lessThan">
      <formula>0.0000001</formula>
    </cfRule>
  </conditionalFormatting>
  <conditionalFormatting sqref="X48:X52">
    <cfRule type="cellIs" dxfId="291" priority="284" operator="lessThan">
      <formula>0.0000001</formula>
    </cfRule>
  </conditionalFormatting>
  <conditionalFormatting sqref="X56:X60">
    <cfRule type="cellIs" dxfId="290" priority="283" operator="lessThan">
      <formula>0.000001</formula>
    </cfRule>
  </conditionalFormatting>
  <conditionalFormatting sqref="X56:X60">
    <cfRule type="cellIs" dxfId="289" priority="282" operator="lessThan">
      <formula>0.0000001</formula>
    </cfRule>
  </conditionalFormatting>
  <conditionalFormatting sqref="X56:X60">
    <cfRule type="cellIs" dxfId="288" priority="281" operator="lessThan">
      <formula>0.0000001</formula>
    </cfRule>
  </conditionalFormatting>
  <conditionalFormatting sqref="X63:X67">
    <cfRule type="cellIs" dxfId="287" priority="280" operator="lessThan">
      <formula>0.000001</formula>
    </cfRule>
  </conditionalFormatting>
  <conditionalFormatting sqref="X63:X67">
    <cfRule type="cellIs" dxfId="286" priority="279" operator="lessThan">
      <formula>0.0000001</formula>
    </cfRule>
  </conditionalFormatting>
  <conditionalFormatting sqref="X63:X67">
    <cfRule type="cellIs" dxfId="285" priority="278" operator="lessThan">
      <formula>0.0000001</formula>
    </cfRule>
  </conditionalFormatting>
  <conditionalFormatting sqref="X71:X75">
    <cfRule type="cellIs" dxfId="284" priority="277" operator="lessThan">
      <formula>0.000001</formula>
    </cfRule>
  </conditionalFormatting>
  <conditionalFormatting sqref="X71:X75">
    <cfRule type="cellIs" dxfId="283" priority="276" operator="lessThan">
      <formula>0.0000001</formula>
    </cfRule>
  </conditionalFormatting>
  <conditionalFormatting sqref="X71:X75">
    <cfRule type="cellIs" dxfId="282" priority="275" operator="lessThan">
      <formula>0.0000001</formula>
    </cfRule>
  </conditionalFormatting>
  <conditionalFormatting sqref="X78:X82">
    <cfRule type="cellIs" dxfId="281" priority="273" operator="lessThan">
      <formula>0.0000001</formula>
    </cfRule>
  </conditionalFormatting>
  <conditionalFormatting sqref="X78:X82">
    <cfRule type="cellIs" dxfId="280" priority="272" operator="lessThan">
      <formula>0.0000001</formula>
    </cfRule>
  </conditionalFormatting>
  <conditionalFormatting sqref="X86:X90">
    <cfRule type="cellIs" dxfId="279" priority="271" operator="lessThan">
      <formula>0.000001</formula>
    </cfRule>
  </conditionalFormatting>
  <conditionalFormatting sqref="X86:X90">
    <cfRule type="cellIs" dxfId="278" priority="270" operator="lessThan">
      <formula>0.0000001</formula>
    </cfRule>
  </conditionalFormatting>
  <conditionalFormatting sqref="X86:X90">
    <cfRule type="cellIs" dxfId="277" priority="269" operator="lessThan">
      <formula>0.0000001</formula>
    </cfRule>
  </conditionalFormatting>
  <conditionalFormatting sqref="X93:X97">
    <cfRule type="cellIs" dxfId="276" priority="268" operator="lessThan">
      <formula>0.000001</formula>
    </cfRule>
  </conditionalFormatting>
  <conditionalFormatting sqref="X93:X97">
    <cfRule type="cellIs" dxfId="275" priority="267" operator="lessThan">
      <formula>0.0000001</formula>
    </cfRule>
  </conditionalFormatting>
  <conditionalFormatting sqref="X93:X97">
    <cfRule type="cellIs" dxfId="274" priority="266" operator="lessThan">
      <formula>0.0000001</formula>
    </cfRule>
  </conditionalFormatting>
  <conditionalFormatting sqref="N27:N30">
    <cfRule type="cellIs" dxfId="273" priority="265" operator="lessThan">
      <formula>0.0000001</formula>
    </cfRule>
  </conditionalFormatting>
  <conditionalFormatting sqref="N42:N45">
    <cfRule type="cellIs" dxfId="272" priority="264" operator="lessThan">
      <formula>0.0000001</formula>
    </cfRule>
  </conditionalFormatting>
  <conditionalFormatting sqref="N57:N60">
    <cfRule type="cellIs" dxfId="271" priority="263" operator="lessThan">
      <formula>0.0000001</formula>
    </cfRule>
  </conditionalFormatting>
  <conditionalFormatting sqref="N72:N75">
    <cfRule type="cellIs" dxfId="270" priority="262" operator="lessThan">
      <formula>0.0000001</formula>
    </cfRule>
  </conditionalFormatting>
  <conditionalFormatting sqref="N87:N90">
    <cfRule type="cellIs" dxfId="269" priority="261" operator="lessThan">
      <formula>0.0000001</formula>
    </cfRule>
  </conditionalFormatting>
  <conditionalFormatting sqref="Q18:Q22">
    <cfRule type="cellIs" dxfId="268" priority="260" operator="lessThan">
      <formula>0.0000001</formula>
    </cfRule>
  </conditionalFormatting>
  <conditionalFormatting sqref="Q26:Q30">
    <cfRule type="cellIs" dxfId="267" priority="259" operator="lessThan">
      <formula>0.0000001</formula>
    </cfRule>
  </conditionalFormatting>
  <conditionalFormatting sqref="Q33:Q37">
    <cfRule type="cellIs" dxfId="266" priority="258" operator="lessThan">
      <formula>0.0000001</formula>
    </cfRule>
  </conditionalFormatting>
  <conditionalFormatting sqref="Q41:Q45">
    <cfRule type="cellIs" dxfId="265" priority="257" operator="lessThan">
      <formula>0.0000001</formula>
    </cfRule>
  </conditionalFormatting>
  <conditionalFormatting sqref="Q48:Q52">
    <cfRule type="cellIs" dxfId="264" priority="256" operator="lessThan">
      <formula>0.0000001</formula>
    </cfRule>
  </conditionalFormatting>
  <conditionalFormatting sqref="Q56:Q60">
    <cfRule type="cellIs" dxfId="263" priority="255" operator="lessThan">
      <formula>0.0000001</formula>
    </cfRule>
  </conditionalFormatting>
  <conditionalFormatting sqref="Q63:Q67">
    <cfRule type="cellIs" dxfId="262" priority="254" operator="lessThan">
      <formula>0.0000001</formula>
    </cfRule>
  </conditionalFormatting>
  <conditionalFormatting sqref="Q71:Q75">
    <cfRule type="cellIs" dxfId="261" priority="253" operator="lessThan">
      <formula>0.0000001</formula>
    </cfRule>
  </conditionalFormatting>
  <conditionalFormatting sqref="Q78:Q82">
    <cfRule type="cellIs" dxfId="260" priority="252" operator="lessThan">
      <formula>0.0000001</formula>
    </cfRule>
  </conditionalFormatting>
  <conditionalFormatting sqref="Q86:Q90">
    <cfRule type="cellIs" dxfId="259" priority="251" operator="lessThan">
      <formula>0.0000001</formula>
    </cfRule>
  </conditionalFormatting>
  <conditionalFormatting sqref="Q93:Q97">
    <cfRule type="cellIs" dxfId="258" priority="250" operator="lessThan">
      <formula>0.0000001</formula>
    </cfRule>
  </conditionalFormatting>
  <conditionalFormatting sqref="M45">
    <cfRule type="cellIs" dxfId="257" priority="249" operator="lessThan">
      <formula>0.0000001</formula>
    </cfRule>
  </conditionalFormatting>
  <conditionalFormatting sqref="M59:M60">
    <cfRule type="cellIs" dxfId="256" priority="248" operator="lessThan">
      <formula>0.0000001</formula>
    </cfRule>
  </conditionalFormatting>
  <conditionalFormatting sqref="M74:M75">
    <cfRule type="cellIs" dxfId="255" priority="247" operator="lessThan">
      <formula>0.0000001</formula>
    </cfRule>
  </conditionalFormatting>
  <conditionalFormatting sqref="M89:M90">
    <cfRule type="cellIs" dxfId="254" priority="246" operator="lessThan">
      <formula>0.0000001</formula>
    </cfRule>
  </conditionalFormatting>
  <conditionalFormatting sqref="U78:V82">
    <cfRule type="cellIs" dxfId="253" priority="216" operator="lessThan">
      <formula>0.0000001</formula>
    </cfRule>
  </conditionalFormatting>
  <conditionalFormatting sqref="U18:W22">
    <cfRule type="cellIs" dxfId="252" priority="245" operator="lessThan">
      <formula>0.0000001</formula>
    </cfRule>
  </conditionalFormatting>
  <conditionalFormatting sqref="Y18:Y22">
    <cfRule type="cellIs" dxfId="251" priority="244" operator="lessThan">
      <formula>0.0000001</formula>
    </cfRule>
  </conditionalFormatting>
  <conditionalFormatting sqref="Z18:Z22">
    <cfRule type="cellIs" dxfId="250" priority="243" operator="lessThan">
      <formula>0.0000001</formula>
    </cfRule>
  </conditionalFormatting>
  <conditionalFormatting sqref="W23:W24">
    <cfRule type="cellIs" dxfId="249" priority="242" operator="equal">
      <formula>0.1</formula>
    </cfRule>
  </conditionalFormatting>
  <conditionalFormatting sqref="V23:V24">
    <cfRule type="cellIs" dxfId="248" priority="241" operator="equal">
      <formula>0.1</formula>
    </cfRule>
  </conditionalFormatting>
  <conditionalFormatting sqref="V16">
    <cfRule type="cellIs" dxfId="247" priority="240" operator="equal">
      <formula>0.1</formula>
    </cfRule>
  </conditionalFormatting>
  <conditionalFormatting sqref="I18:M22">
    <cfRule type="cellIs" dxfId="246" priority="77" operator="equal">
      <formula>0.0000001</formula>
    </cfRule>
    <cfRule type="cellIs" dxfId="245" priority="239" operator="equal">
      <formula>0</formula>
    </cfRule>
  </conditionalFormatting>
  <conditionalFormatting sqref="I18:M19">
    <cfRule type="cellIs" dxfId="244" priority="238" operator="equal">
      <formula>0</formula>
    </cfRule>
  </conditionalFormatting>
  <conditionalFormatting sqref="U26:V30">
    <cfRule type="cellIs" dxfId="243" priority="237" operator="lessThan">
      <formula>0.0000001</formula>
    </cfRule>
  </conditionalFormatting>
  <conditionalFormatting sqref="U31">
    <cfRule type="cellIs" dxfId="242" priority="236" operator="equal">
      <formula>0.1</formula>
    </cfRule>
  </conditionalFormatting>
  <conditionalFormatting sqref="U38:U39">
    <cfRule type="cellIs" dxfId="241" priority="235" operator="equal">
      <formula>0.1</formula>
    </cfRule>
  </conditionalFormatting>
  <conditionalFormatting sqref="U33:V37">
    <cfRule type="cellIs" dxfId="240" priority="234" operator="lessThan">
      <formula>0.0000001</formula>
    </cfRule>
  </conditionalFormatting>
  <conditionalFormatting sqref="V38:V39">
    <cfRule type="cellIs" dxfId="239" priority="233" operator="equal">
      <formula>0.1</formula>
    </cfRule>
  </conditionalFormatting>
  <conditionalFormatting sqref="V31">
    <cfRule type="cellIs" dxfId="238" priority="232" operator="equal">
      <formula>0.1</formula>
    </cfRule>
  </conditionalFormatting>
  <conditionalFormatting sqref="U41:V45">
    <cfRule type="cellIs" dxfId="237" priority="231" operator="lessThan">
      <formula>0.0000001</formula>
    </cfRule>
  </conditionalFormatting>
  <conditionalFormatting sqref="U46">
    <cfRule type="cellIs" dxfId="236" priority="230" operator="equal">
      <formula>0.1</formula>
    </cfRule>
  </conditionalFormatting>
  <conditionalFormatting sqref="U53:U54">
    <cfRule type="cellIs" dxfId="235" priority="229" operator="equal">
      <formula>0.1</formula>
    </cfRule>
  </conditionalFormatting>
  <conditionalFormatting sqref="U48:V52">
    <cfRule type="cellIs" dxfId="234" priority="228" operator="lessThan">
      <formula>0.0000001</formula>
    </cfRule>
  </conditionalFormatting>
  <conditionalFormatting sqref="V53:V54">
    <cfRule type="cellIs" dxfId="233" priority="227" operator="equal">
      <formula>0.1</formula>
    </cfRule>
  </conditionalFormatting>
  <conditionalFormatting sqref="V46">
    <cfRule type="cellIs" dxfId="232" priority="226" operator="equal">
      <formula>0.1</formula>
    </cfRule>
  </conditionalFormatting>
  <conditionalFormatting sqref="U56:V60">
    <cfRule type="cellIs" dxfId="231" priority="225" operator="lessThan">
      <formula>0.0000001</formula>
    </cfRule>
  </conditionalFormatting>
  <conditionalFormatting sqref="U61">
    <cfRule type="cellIs" dxfId="230" priority="224" operator="equal">
      <formula>0.1</formula>
    </cfRule>
  </conditionalFormatting>
  <conditionalFormatting sqref="U68:U69">
    <cfRule type="cellIs" dxfId="229" priority="223" operator="equal">
      <formula>0.1</formula>
    </cfRule>
  </conditionalFormatting>
  <conditionalFormatting sqref="U63:V67">
    <cfRule type="cellIs" dxfId="228" priority="222" operator="lessThan">
      <formula>0.0000001</formula>
    </cfRule>
  </conditionalFormatting>
  <conditionalFormatting sqref="V68:V69">
    <cfRule type="cellIs" dxfId="227" priority="221" operator="equal">
      <formula>0.1</formula>
    </cfRule>
  </conditionalFormatting>
  <conditionalFormatting sqref="V61">
    <cfRule type="cellIs" dxfId="226" priority="220" operator="equal">
      <formula>0.1</formula>
    </cfRule>
  </conditionalFormatting>
  <conditionalFormatting sqref="U71:V75">
    <cfRule type="cellIs" dxfId="225" priority="219" operator="lessThan">
      <formula>0.0000001</formula>
    </cfRule>
  </conditionalFormatting>
  <conditionalFormatting sqref="U76">
    <cfRule type="cellIs" dxfId="224" priority="218" operator="equal">
      <formula>0.1</formula>
    </cfRule>
  </conditionalFormatting>
  <conditionalFormatting sqref="U83:U84">
    <cfRule type="cellIs" dxfId="223" priority="217" operator="equal">
      <formula>0.1</formula>
    </cfRule>
  </conditionalFormatting>
  <conditionalFormatting sqref="V83:V84">
    <cfRule type="cellIs" dxfId="222" priority="215" operator="equal">
      <formula>0.1</formula>
    </cfRule>
  </conditionalFormatting>
  <conditionalFormatting sqref="V76">
    <cfRule type="cellIs" dxfId="221" priority="214" operator="equal">
      <formula>0.1</formula>
    </cfRule>
  </conditionalFormatting>
  <conditionalFormatting sqref="U86:V90">
    <cfRule type="cellIs" dxfId="220" priority="213" operator="lessThan">
      <formula>0.0000001</formula>
    </cfRule>
  </conditionalFormatting>
  <conditionalFormatting sqref="U91">
    <cfRule type="cellIs" dxfId="219" priority="212" operator="equal">
      <formula>0.1</formula>
    </cfRule>
  </conditionalFormatting>
  <conditionalFormatting sqref="U98">
    <cfRule type="cellIs" dxfId="218" priority="211" operator="equal">
      <formula>0.1</formula>
    </cfRule>
  </conditionalFormatting>
  <conditionalFormatting sqref="U93:V97">
    <cfRule type="cellIs" dxfId="217" priority="210" operator="lessThan">
      <formula>0.0000001</formula>
    </cfRule>
  </conditionalFormatting>
  <conditionalFormatting sqref="V98">
    <cfRule type="cellIs" dxfId="216" priority="209" operator="equal">
      <formula>0.1</formula>
    </cfRule>
  </conditionalFormatting>
  <conditionalFormatting sqref="V91">
    <cfRule type="cellIs" dxfId="215" priority="208" operator="equal">
      <formula>0.1</formula>
    </cfRule>
  </conditionalFormatting>
  <conditionalFormatting sqref="W26:W30">
    <cfRule type="cellIs" dxfId="214" priority="207" operator="lessThan">
      <formula>0.0000001</formula>
    </cfRule>
  </conditionalFormatting>
  <conditionalFormatting sqref="W31">
    <cfRule type="cellIs" dxfId="213" priority="206" operator="equal">
      <formula>0.1</formula>
    </cfRule>
  </conditionalFormatting>
  <conditionalFormatting sqref="W33:W37">
    <cfRule type="cellIs" dxfId="212" priority="205" operator="lessThan">
      <formula>0.0000001</formula>
    </cfRule>
  </conditionalFormatting>
  <conditionalFormatting sqref="W38:W39">
    <cfRule type="cellIs" dxfId="211" priority="204" operator="equal">
      <formula>0.1</formula>
    </cfRule>
  </conditionalFormatting>
  <conditionalFormatting sqref="W41:W45">
    <cfRule type="cellIs" dxfId="210" priority="203" operator="lessThan">
      <formula>0.0000001</formula>
    </cfRule>
  </conditionalFormatting>
  <conditionalFormatting sqref="W46">
    <cfRule type="cellIs" dxfId="209" priority="202" operator="equal">
      <formula>0.1</formula>
    </cfRule>
  </conditionalFormatting>
  <conditionalFormatting sqref="W48:W52">
    <cfRule type="cellIs" dxfId="208" priority="201" operator="lessThan">
      <formula>0.0000001</formula>
    </cfRule>
  </conditionalFormatting>
  <conditionalFormatting sqref="W53:W54">
    <cfRule type="cellIs" dxfId="207" priority="200" operator="equal">
      <formula>0.1</formula>
    </cfRule>
  </conditionalFormatting>
  <conditionalFormatting sqref="W56:W60">
    <cfRule type="cellIs" dxfId="206" priority="199" operator="lessThan">
      <formula>0.0000001</formula>
    </cfRule>
  </conditionalFormatting>
  <conditionalFormatting sqref="W61">
    <cfRule type="cellIs" dxfId="205" priority="198" operator="equal">
      <formula>0.1</formula>
    </cfRule>
  </conditionalFormatting>
  <conditionalFormatting sqref="W63:W67">
    <cfRule type="cellIs" dxfId="204" priority="197" operator="lessThan">
      <formula>0.0000001</formula>
    </cfRule>
  </conditionalFormatting>
  <conditionalFormatting sqref="W68:W69">
    <cfRule type="cellIs" dxfId="203" priority="196" operator="equal">
      <formula>0.1</formula>
    </cfRule>
  </conditionalFormatting>
  <conditionalFormatting sqref="W71:W75">
    <cfRule type="cellIs" dxfId="202" priority="195" operator="lessThan">
      <formula>0.0000001</formula>
    </cfRule>
  </conditionalFormatting>
  <conditionalFormatting sqref="W76">
    <cfRule type="cellIs" dxfId="201" priority="194" operator="equal">
      <formula>0.1</formula>
    </cfRule>
  </conditionalFormatting>
  <conditionalFormatting sqref="W78:W82">
    <cfRule type="cellIs" dxfId="200" priority="193" operator="lessThan">
      <formula>0.0000001</formula>
    </cfRule>
  </conditionalFormatting>
  <conditionalFormatting sqref="W83:W84">
    <cfRule type="cellIs" dxfId="199" priority="192" operator="equal">
      <formula>0.1</formula>
    </cfRule>
  </conditionalFormatting>
  <conditionalFormatting sqref="W86:W90">
    <cfRule type="cellIs" dxfId="198" priority="191" operator="lessThan">
      <formula>0.0000001</formula>
    </cfRule>
  </conditionalFormatting>
  <conditionalFormatting sqref="W91">
    <cfRule type="cellIs" dxfId="197" priority="190" operator="equal">
      <formula>0.1</formula>
    </cfRule>
  </conditionalFormatting>
  <conditionalFormatting sqref="W93:W97">
    <cfRule type="cellIs" dxfId="196" priority="189" operator="lessThan">
      <formula>0.0000001</formula>
    </cfRule>
  </conditionalFormatting>
  <conditionalFormatting sqref="W98">
    <cfRule type="cellIs" dxfId="195" priority="188" operator="equal">
      <formula>0.1</formula>
    </cfRule>
  </conditionalFormatting>
  <conditionalFormatting sqref="Y26:Y30 Y33:Y37">
    <cfRule type="cellIs" dxfId="194" priority="187" operator="lessThan">
      <formula>0.000001</formula>
    </cfRule>
  </conditionalFormatting>
  <conditionalFormatting sqref="Y26:Y30">
    <cfRule type="cellIs" dxfId="193" priority="186" operator="lessThan">
      <formula>0.0000001</formula>
    </cfRule>
  </conditionalFormatting>
  <conditionalFormatting sqref="Y33:Y37">
    <cfRule type="cellIs" dxfId="192" priority="185" operator="lessThan">
      <formula>0.0000001</formula>
    </cfRule>
  </conditionalFormatting>
  <conditionalFormatting sqref="Y31">
    <cfRule type="cellIs" dxfId="191" priority="184" operator="lessThan">
      <formula>0.000001</formula>
    </cfRule>
  </conditionalFormatting>
  <conditionalFormatting sqref="Y31">
    <cfRule type="cellIs" dxfId="190" priority="183" operator="equal">
      <formula>0.25</formula>
    </cfRule>
  </conditionalFormatting>
  <conditionalFormatting sqref="Y38:Y39">
    <cfRule type="cellIs" dxfId="189" priority="181" operator="equal">
      <formula>0.25</formula>
    </cfRule>
  </conditionalFormatting>
  <conditionalFormatting sqref="Y38:Y39">
    <cfRule type="cellIs" dxfId="188" priority="182" operator="lessThan">
      <formula>0.000001</formula>
    </cfRule>
  </conditionalFormatting>
  <conditionalFormatting sqref="Y33:Y37">
    <cfRule type="cellIs" dxfId="187" priority="180" operator="lessThan">
      <formula>0.0000001</formula>
    </cfRule>
  </conditionalFormatting>
  <conditionalFormatting sqref="Y33:Y37">
    <cfRule type="cellIs" dxfId="186" priority="179" operator="lessThan">
      <formula>0.0000001</formula>
    </cfRule>
  </conditionalFormatting>
  <conditionalFormatting sqref="Y41:Y45 Y48:Y52">
    <cfRule type="cellIs" dxfId="185" priority="178" operator="lessThan">
      <formula>0.000001</formula>
    </cfRule>
  </conditionalFormatting>
  <conditionalFormatting sqref="Y41:Y45">
    <cfRule type="cellIs" dxfId="184" priority="177" operator="lessThan">
      <formula>0.0000001</formula>
    </cfRule>
  </conditionalFormatting>
  <conditionalFormatting sqref="Y48:Y52">
    <cfRule type="cellIs" dxfId="183" priority="176" operator="lessThan">
      <formula>0.0000001</formula>
    </cfRule>
  </conditionalFormatting>
  <conditionalFormatting sqref="Y46">
    <cfRule type="cellIs" dxfId="182" priority="175" operator="lessThan">
      <formula>0.000001</formula>
    </cfRule>
  </conditionalFormatting>
  <conditionalFormatting sqref="Y46">
    <cfRule type="cellIs" dxfId="181" priority="174" operator="equal">
      <formula>0.25</formula>
    </cfRule>
  </conditionalFormatting>
  <conditionalFormatting sqref="Y53:Y54">
    <cfRule type="cellIs" dxfId="180" priority="172" operator="equal">
      <formula>0.25</formula>
    </cfRule>
  </conditionalFormatting>
  <conditionalFormatting sqref="Y53:Y54">
    <cfRule type="cellIs" dxfId="179" priority="173" operator="lessThan">
      <formula>0.000001</formula>
    </cfRule>
  </conditionalFormatting>
  <conditionalFormatting sqref="Y48:Y52">
    <cfRule type="cellIs" dxfId="178" priority="171" operator="lessThan">
      <formula>0.0000001</formula>
    </cfRule>
  </conditionalFormatting>
  <conditionalFormatting sqref="Y48:Y52">
    <cfRule type="cellIs" dxfId="177" priority="170" operator="lessThan">
      <formula>0.0000001</formula>
    </cfRule>
  </conditionalFormatting>
  <conditionalFormatting sqref="Y56:Y60 Y63:Y67">
    <cfRule type="cellIs" dxfId="176" priority="169" operator="lessThan">
      <formula>0.000001</formula>
    </cfRule>
  </conditionalFormatting>
  <conditionalFormatting sqref="Y56:Y60">
    <cfRule type="cellIs" dxfId="175" priority="168" operator="lessThan">
      <formula>0.0000001</formula>
    </cfRule>
  </conditionalFormatting>
  <conditionalFormatting sqref="Y63:Y67">
    <cfRule type="cellIs" dxfId="174" priority="167" operator="lessThan">
      <formula>0.0000001</formula>
    </cfRule>
  </conditionalFormatting>
  <conditionalFormatting sqref="Y61">
    <cfRule type="cellIs" dxfId="173" priority="166" operator="lessThan">
      <formula>0.000001</formula>
    </cfRule>
  </conditionalFormatting>
  <conditionalFormatting sqref="Y61">
    <cfRule type="cellIs" dxfId="172" priority="165" operator="equal">
      <formula>0.25</formula>
    </cfRule>
  </conditionalFormatting>
  <conditionalFormatting sqref="Y68:Y69">
    <cfRule type="cellIs" dxfId="171" priority="163" operator="equal">
      <formula>0.25</formula>
    </cfRule>
  </conditionalFormatting>
  <conditionalFormatting sqref="Y68:Y69">
    <cfRule type="cellIs" dxfId="170" priority="164" operator="lessThan">
      <formula>0.000001</formula>
    </cfRule>
  </conditionalFormatting>
  <conditionalFormatting sqref="Y63:Y67">
    <cfRule type="cellIs" dxfId="169" priority="162" operator="lessThan">
      <formula>0.0000001</formula>
    </cfRule>
  </conditionalFormatting>
  <conditionalFormatting sqref="Y63:Y67">
    <cfRule type="cellIs" dxfId="168" priority="161" operator="lessThan">
      <formula>0.0000001</formula>
    </cfRule>
  </conditionalFormatting>
  <conditionalFormatting sqref="Y71:Y75 Y78:Y82">
    <cfRule type="cellIs" dxfId="167" priority="160" operator="lessThan">
      <formula>0.000001</formula>
    </cfRule>
  </conditionalFormatting>
  <conditionalFormatting sqref="Y71:Y75">
    <cfRule type="cellIs" dxfId="166" priority="159" operator="lessThan">
      <formula>0.0000001</formula>
    </cfRule>
  </conditionalFormatting>
  <conditionalFormatting sqref="Y78:Y82">
    <cfRule type="cellIs" dxfId="165" priority="158" operator="lessThan">
      <formula>0.0000001</formula>
    </cfRule>
  </conditionalFormatting>
  <conditionalFormatting sqref="Y76">
    <cfRule type="cellIs" dxfId="164" priority="157" operator="lessThan">
      <formula>0.000001</formula>
    </cfRule>
  </conditionalFormatting>
  <conditionalFormatting sqref="Y76">
    <cfRule type="cellIs" dxfId="163" priority="156" operator="equal">
      <formula>0.25</formula>
    </cfRule>
  </conditionalFormatting>
  <conditionalFormatting sqref="Y83:Y84">
    <cfRule type="cellIs" dxfId="162" priority="154" operator="equal">
      <formula>0.25</formula>
    </cfRule>
  </conditionalFormatting>
  <conditionalFormatting sqref="Y83:Y84">
    <cfRule type="cellIs" dxfId="161" priority="155" operator="lessThan">
      <formula>0.000001</formula>
    </cfRule>
  </conditionalFormatting>
  <conditionalFormatting sqref="Y78:Y82">
    <cfRule type="cellIs" dxfId="160" priority="153" operator="lessThan">
      <formula>0.0000001</formula>
    </cfRule>
  </conditionalFormatting>
  <conditionalFormatting sqref="Y78:Y82">
    <cfRule type="cellIs" dxfId="159" priority="152" operator="lessThan">
      <formula>0.0000001</formula>
    </cfRule>
  </conditionalFormatting>
  <conditionalFormatting sqref="Y86:Y90 Y93:Y97">
    <cfRule type="cellIs" dxfId="158" priority="151" operator="lessThan">
      <formula>0.000001</formula>
    </cfRule>
  </conditionalFormatting>
  <conditionalFormatting sqref="Y86:Y90">
    <cfRule type="cellIs" dxfId="157" priority="150" operator="lessThan">
      <formula>0.0000001</formula>
    </cfRule>
  </conditionalFormatting>
  <conditionalFormatting sqref="Y93:Y97">
    <cfRule type="cellIs" dxfId="156" priority="149" operator="lessThan">
      <formula>0.0000001</formula>
    </cfRule>
  </conditionalFormatting>
  <conditionalFormatting sqref="Y91">
    <cfRule type="cellIs" dxfId="155" priority="148" operator="lessThan">
      <formula>0.000001</formula>
    </cfRule>
  </conditionalFormatting>
  <conditionalFormatting sqref="Y91">
    <cfRule type="cellIs" dxfId="154" priority="147" operator="equal">
      <formula>0.25</formula>
    </cfRule>
  </conditionalFormatting>
  <conditionalFormatting sqref="Y98">
    <cfRule type="cellIs" dxfId="153" priority="145" operator="equal">
      <formula>0.25</formula>
    </cfRule>
  </conditionalFormatting>
  <conditionalFormatting sqref="Y98">
    <cfRule type="cellIs" dxfId="152" priority="146" operator="lessThan">
      <formula>0.000001</formula>
    </cfRule>
  </conditionalFormatting>
  <conditionalFormatting sqref="Y93:Y97">
    <cfRule type="cellIs" dxfId="151" priority="144" operator="lessThan">
      <formula>0.0000001</formula>
    </cfRule>
  </conditionalFormatting>
  <conditionalFormatting sqref="Y93:Y97">
    <cfRule type="cellIs" dxfId="150" priority="143" operator="lessThan">
      <formula>0.0000001</formula>
    </cfRule>
  </conditionalFormatting>
  <conditionalFormatting sqref="Y62">
    <cfRule type="cellIs" dxfId="149" priority="105" operator="lessThan">
      <formula>0.0000001</formula>
    </cfRule>
  </conditionalFormatting>
  <conditionalFormatting sqref="M26:M28">
    <cfRule type="cellIs" dxfId="148" priority="142" operator="lessThan">
      <formula>0.0000001</formula>
    </cfRule>
  </conditionalFormatting>
  <conditionalFormatting sqref="M71:M73">
    <cfRule type="cellIs" dxfId="147" priority="140" operator="lessThan">
      <formula>0.0000001</formula>
    </cfRule>
  </conditionalFormatting>
  <conditionalFormatting sqref="M56:M58">
    <cfRule type="cellIs" dxfId="146" priority="141" operator="lessThan">
      <formula>0.0000001</formula>
    </cfRule>
  </conditionalFormatting>
  <conditionalFormatting sqref="M86:M88">
    <cfRule type="cellIs" dxfId="145" priority="139" operator="lessThan">
      <formula>0.0000001</formula>
    </cfRule>
  </conditionalFormatting>
  <conditionalFormatting sqref="Z11:AB15 Z18:AB22 Z26:AB30 Z33:AB37 Z41:AB45 Z48:AB52 Z56:AB60 Z63:AB67 Z71:AB75 Z78:AB82 Z86:AB90 Z93:AB97">
    <cfRule type="cellIs" dxfId="144" priority="138" operator="equal">
      <formula>0</formula>
    </cfRule>
  </conditionalFormatting>
  <conditionalFormatting sqref="T11:X15 T18:X22 T26:X30 T33:X37 T41:X45 T48:X52 T56:X60 T63:X67 T71:X75 T78:X82 T86:X90 T93:X97">
    <cfRule type="cellIs" dxfId="143" priority="137" operator="equal">
      <formula>0</formula>
    </cfRule>
  </conditionalFormatting>
  <conditionalFormatting sqref="Y11:Y15 Y18:Y22 Y26:Y30 Y33:Y37 Y41:Y45 Y48:Y52 Y56:Y60 Y63:Y67 Y71:Y75 Y78:Y82 Y86:Y90 Y93:Y97">
    <cfRule type="cellIs" dxfId="142" priority="136" operator="lessThan">
      <formula>0.0001</formula>
    </cfRule>
  </conditionalFormatting>
  <conditionalFormatting sqref="X25">
    <cfRule type="cellIs" dxfId="141" priority="135" operator="lessThan">
      <formula>0.000001</formula>
    </cfRule>
  </conditionalFormatting>
  <conditionalFormatting sqref="X40">
    <cfRule type="cellIs" dxfId="140" priority="134" operator="lessThan">
      <formula>0.000001</formula>
    </cfRule>
  </conditionalFormatting>
  <conditionalFormatting sqref="X55">
    <cfRule type="cellIs" dxfId="139" priority="133" operator="lessThan">
      <formula>0.000001</formula>
    </cfRule>
  </conditionalFormatting>
  <conditionalFormatting sqref="X70">
    <cfRule type="cellIs" dxfId="138" priority="132" operator="lessThan">
      <formula>0.000001</formula>
    </cfRule>
  </conditionalFormatting>
  <conditionalFormatting sqref="X85">
    <cfRule type="cellIs" dxfId="137" priority="131" operator="lessThan">
      <formula>0.000001</formula>
    </cfRule>
  </conditionalFormatting>
  <conditionalFormatting sqref="X17:Y17">
    <cfRule type="cellIs" dxfId="136" priority="130" operator="lessThan">
      <formula>0.000001</formula>
    </cfRule>
  </conditionalFormatting>
  <conditionalFormatting sqref="T17 X17:Y17">
    <cfRule type="cellIs" dxfId="135" priority="129" operator="lessThan">
      <formula>0.0000001</formula>
    </cfRule>
  </conditionalFormatting>
  <conditionalFormatting sqref="X17:Y17">
    <cfRule type="cellIs" dxfId="134" priority="128" operator="lessThan">
      <formula>0.0000001</formula>
    </cfRule>
  </conditionalFormatting>
  <conditionalFormatting sqref="U17:W17">
    <cfRule type="cellIs" dxfId="133" priority="127" operator="lessThan">
      <formula>0.0000001</formula>
    </cfRule>
  </conditionalFormatting>
  <conditionalFormatting sqref="Y17">
    <cfRule type="cellIs" dxfId="132" priority="126" operator="lessThan">
      <formula>0.0000001</formula>
    </cfRule>
  </conditionalFormatting>
  <conditionalFormatting sqref="T17:X17">
    <cfRule type="cellIs" dxfId="131" priority="125" operator="equal">
      <formula>0</formula>
    </cfRule>
  </conditionalFormatting>
  <conditionalFormatting sqref="Y17">
    <cfRule type="cellIs" dxfId="130" priority="124" operator="lessThan">
      <formula>0.0001</formula>
    </cfRule>
  </conditionalFormatting>
  <conditionalFormatting sqref="X32:Y32">
    <cfRule type="cellIs" dxfId="129" priority="123" operator="lessThan">
      <formula>0.000001</formula>
    </cfRule>
  </conditionalFormatting>
  <conditionalFormatting sqref="T32 X32:Y32">
    <cfRule type="cellIs" dxfId="128" priority="122" operator="lessThan">
      <formula>0.0000001</formula>
    </cfRule>
  </conditionalFormatting>
  <conditionalFormatting sqref="X32:Y32">
    <cfRule type="cellIs" dxfId="127" priority="121" operator="lessThan">
      <formula>0.0000001</formula>
    </cfRule>
  </conditionalFormatting>
  <conditionalFormatting sqref="U32:W32">
    <cfRule type="cellIs" dxfId="126" priority="120" operator="lessThan">
      <formula>0.0000001</formula>
    </cfRule>
  </conditionalFormatting>
  <conditionalFormatting sqref="Y32">
    <cfRule type="cellIs" dxfId="125" priority="119" operator="lessThan">
      <formula>0.0000001</formula>
    </cfRule>
  </conditionalFormatting>
  <conditionalFormatting sqref="T32:X32">
    <cfRule type="cellIs" dxfId="124" priority="118" operator="equal">
      <formula>0</formula>
    </cfRule>
  </conditionalFormatting>
  <conditionalFormatting sqref="Y32">
    <cfRule type="cellIs" dxfId="123" priority="117" operator="lessThan">
      <formula>0.0001</formula>
    </cfRule>
  </conditionalFormatting>
  <conditionalFormatting sqref="X47:Y47">
    <cfRule type="cellIs" dxfId="122" priority="116" operator="lessThan">
      <formula>0.000001</formula>
    </cfRule>
  </conditionalFormatting>
  <conditionalFormatting sqref="T47 X47:Y47">
    <cfRule type="cellIs" dxfId="121" priority="115" operator="lessThan">
      <formula>0.0000001</formula>
    </cfRule>
  </conditionalFormatting>
  <conditionalFormatting sqref="X47:Y47">
    <cfRule type="cellIs" dxfId="120" priority="114" operator="lessThan">
      <formula>0.0000001</formula>
    </cfRule>
  </conditionalFormatting>
  <conditionalFormatting sqref="U47:W47">
    <cfRule type="cellIs" dxfId="119" priority="113" operator="lessThan">
      <formula>0.0000001</formula>
    </cfRule>
  </conditionalFormatting>
  <conditionalFormatting sqref="Y47">
    <cfRule type="cellIs" dxfId="118" priority="112" operator="lessThan">
      <formula>0.0000001</formula>
    </cfRule>
  </conditionalFormatting>
  <conditionalFormatting sqref="T47:X47">
    <cfRule type="cellIs" dxfId="117" priority="111" operator="equal">
      <formula>0</formula>
    </cfRule>
  </conditionalFormatting>
  <conditionalFormatting sqref="Y47">
    <cfRule type="cellIs" dxfId="116" priority="110" operator="lessThan">
      <formula>0.0001</formula>
    </cfRule>
  </conditionalFormatting>
  <conditionalFormatting sqref="X62:Y62">
    <cfRule type="cellIs" dxfId="115" priority="109" operator="lessThan">
      <formula>0.000001</formula>
    </cfRule>
  </conditionalFormatting>
  <conditionalFormatting sqref="T62 X62:Y62">
    <cfRule type="cellIs" dxfId="114" priority="108" operator="lessThan">
      <formula>0.0000001</formula>
    </cfRule>
  </conditionalFormatting>
  <conditionalFormatting sqref="X62:Y62">
    <cfRule type="cellIs" dxfId="113" priority="107" operator="lessThan">
      <formula>0.0000001</formula>
    </cfRule>
  </conditionalFormatting>
  <conditionalFormatting sqref="U62:W62">
    <cfRule type="cellIs" dxfId="112" priority="106" operator="lessThan">
      <formula>0.0000001</formula>
    </cfRule>
  </conditionalFormatting>
  <conditionalFormatting sqref="T62:X62">
    <cfRule type="cellIs" dxfId="111" priority="104" operator="equal">
      <formula>0</formula>
    </cfRule>
  </conditionalFormatting>
  <conditionalFormatting sqref="Y62">
    <cfRule type="cellIs" dxfId="110" priority="103" operator="lessThan">
      <formula>0.0001</formula>
    </cfRule>
  </conditionalFormatting>
  <conditionalFormatting sqref="X77:Y77">
    <cfRule type="cellIs" dxfId="109" priority="102" operator="lessThan">
      <formula>0.000001</formula>
    </cfRule>
  </conditionalFormatting>
  <conditionalFormatting sqref="T77 X77:Y77">
    <cfRule type="cellIs" dxfId="108" priority="101" operator="lessThan">
      <formula>0.0000001</formula>
    </cfRule>
  </conditionalFormatting>
  <conditionalFormatting sqref="X77:Y77">
    <cfRule type="cellIs" dxfId="107" priority="100" operator="lessThan">
      <formula>0.0000001</formula>
    </cfRule>
  </conditionalFormatting>
  <conditionalFormatting sqref="U77:W77">
    <cfRule type="cellIs" dxfId="106" priority="99" operator="lessThan">
      <formula>0.0000001</formula>
    </cfRule>
  </conditionalFormatting>
  <conditionalFormatting sqref="Y77">
    <cfRule type="cellIs" dxfId="105" priority="98" operator="lessThan">
      <formula>0.0000001</formula>
    </cfRule>
  </conditionalFormatting>
  <conditionalFormatting sqref="T77:X77">
    <cfRule type="cellIs" dxfId="104" priority="97" operator="equal">
      <formula>0</formula>
    </cfRule>
  </conditionalFormatting>
  <conditionalFormatting sqref="Y77">
    <cfRule type="cellIs" dxfId="103" priority="96" operator="lessThan">
      <formula>0.0001</formula>
    </cfRule>
  </conditionalFormatting>
  <conditionalFormatting sqref="X92:Y92">
    <cfRule type="cellIs" dxfId="102" priority="95" operator="lessThan">
      <formula>0.000001</formula>
    </cfRule>
  </conditionalFormatting>
  <conditionalFormatting sqref="T92 X92:Y92">
    <cfRule type="cellIs" dxfId="101" priority="94" operator="lessThan">
      <formula>0.0000001</formula>
    </cfRule>
  </conditionalFormatting>
  <conditionalFormatting sqref="X92:Y92">
    <cfRule type="cellIs" dxfId="100" priority="93" operator="lessThan">
      <formula>0.0000001</formula>
    </cfRule>
  </conditionalFormatting>
  <conditionalFormatting sqref="U92:W92">
    <cfRule type="cellIs" dxfId="99" priority="92" operator="lessThan">
      <formula>0.0000001</formula>
    </cfRule>
  </conditionalFormatting>
  <conditionalFormatting sqref="Y92">
    <cfRule type="cellIs" dxfId="98" priority="91" operator="lessThan">
      <formula>0.0000001</formula>
    </cfRule>
  </conditionalFormatting>
  <conditionalFormatting sqref="T92:X92">
    <cfRule type="cellIs" dxfId="97" priority="90" operator="equal">
      <formula>0</formula>
    </cfRule>
  </conditionalFormatting>
  <conditionalFormatting sqref="Y92">
    <cfRule type="cellIs" dxfId="96" priority="89" operator="lessThan">
      <formula>0.0001</formula>
    </cfRule>
  </conditionalFormatting>
  <conditionalFormatting sqref="N46">
    <cfRule type="cellIs" dxfId="95" priority="88" operator="lessThan">
      <formula>0.0000001</formula>
    </cfRule>
  </conditionalFormatting>
  <conditionalFormatting sqref="H19:H22">
    <cfRule type="cellIs" dxfId="94" priority="87" operator="lessThan">
      <formula>0.0000001</formula>
    </cfRule>
  </conditionalFormatting>
  <conditionalFormatting sqref="H64:H67">
    <cfRule type="cellIs" dxfId="93" priority="62" operator="lessThan">
      <formula>0.0000001</formula>
    </cfRule>
  </conditionalFormatting>
  <conditionalFormatting sqref="W71:W75">
    <cfRule type="cellIs" dxfId="92" priority="24" operator="lessThan">
      <formula>0.0000001</formula>
    </cfRule>
  </conditionalFormatting>
  <conditionalFormatting sqref="W63:W67">
    <cfRule type="cellIs" dxfId="91" priority="29" operator="lessThan">
      <formula>0.0000001</formula>
    </cfRule>
  </conditionalFormatting>
  <conditionalFormatting sqref="W48:W52">
    <cfRule type="cellIs" dxfId="90" priority="34" operator="lessThan">
      <formula>0.0000001</formula>
    </cfRule>
  </conditionalFormatting>
  <conditionalFormatting sqref="W33:W37">
    <cfRule type="cellIs" dxfId="89" priority="39" operator="lessThan">
      <formula>0.0000001</formula>
    </cfRule>
  </conditionalFormatting>
  <conditionalFormatting sqref="I11:L15">
    <cfRule type="cellIs" dxfId="88" priority="86" operator="equal">
      <formula>0.0000001</formula>
    </cfRule>
  </conditionalFormatting>
  <conditionalFormatting sqref="I26:L26 I28:L30 J27:L27">
    <cfRule type="cellIs" dxfId="87" priority="85" operator="equal">
      <formula>0.0000001</formula>
    </cfRule>
  </conditionalFormatting>
  <conditionalFormatting sqref="I43:L45 J41:L42">
    <cfRule type="cellIs" dxfId="86" priority="84" operator="equal">
      <formula>0.0000001</formula>
    </cfRule>
  </conditionalFormatting>
  <conditionalFormatting sqref="I56:L60">
    <cfRule type="cellIs" dxfId="85" priority="83" operator="equal">
      <formula>0.0000001</formula>
    </cfRule>
  </conditionalFormatting>
  <conditionalFormatting sqref="I71:L75">
    <cfRule type="cellIs" dxfId="84" priority="82" operator="equal">
      <formula>0.0000001</formula>
    </cfRule>
  </conditionalFormatting>
  <conditionalFormatting sqref="I86:L90">
    <cfRule type="cellIs" dxfId="83" priority="81" operator="equal">
      <formula>0.0000001</formula>
    </cfRule>
  </conditionalFormatting>
  <conditionalFormatting sqref="M11:M14">
    <cfRule type="cellIs" dxfId="82" priority="80" operator="lessThan">
      <formula>0.0000001</formula>
    </cfRule>
  </conditionalFormatting>
  <conditionalFormatting sqref="I18:L22">
    <cfRule type="cellIs" dxfId="81" priority="78" operator="equal">
      <formula>0.0000001</formula>
    </cfRule>
    <cfRule type="cellIs" dxfId="80" priority="79" operator="equal">
      <formula>0.000001</formula>
    </cfRule>
  </conditionalFormatting>
  <conditionalFormatting sqref="I33:M37">
    <cfRule type="cellIs" dxfId="79" priority="71" operator="equal">
      <formula>0.0000001</formula>
    </cfRule>
    <cfRule type="cellIs" dxfId="78" priority="76" operator="equal">
      <formula>0</formula>
    </cfRule>
  </conditionalFormatting>
  <conditionalFormatting sqref="I33:M34">
    <cfRule type="cellIs" dxfId="77" priority="75" operator="equal">
      <formula>0</formula>
    </cfRule>
  </conditionalFormatting>
  <conditionalFormatting sqref="H34:H37">
    <cfRule type="cellIs" dxfId="76" priority="74" operator="lessThan">
      <formula>0.0000001</formula>
    </cfRule>
  </conditionalFormatting>
  <conditionalFormatting sqref="I33:L37">
    <cfRule type="cellIs" dxfId="75" priority="72" operator="equal">
      <formula>0.0000001</formula>
    </cfRule>
    <cfRule type="cellIs" dxfId="74" priority="73" operator="equal">
      <formula>0.000001</formula>
    </cfRule>
  </conditionalFormatting>
  <conditionalFormatting sqref="I48:M52">
    <cfRule type="cellIs" dxfId="73" priority="65" operator="equal">
      <formula>0.0000001</formula>
    </cfRule>
    <cfRule type="cellIs" dxfId="72" priority="70" operator="equal">
      <formula>0</formula>
    </cfRule>
  </conditionalFormatting>
  <conditionalFormatting sqref="I48:M49">
    <cfRule type="cellIs" dxfId="71" priority="69" operator="equal">
      <formula>0</formula>
    </cfRule>
  </conditionalFormatting>
  <conditionalFormatting sqref="H49:H52">
    <cfRule type="cellIs" dxfId="70" priority="68" operator="lessThan">
      <formula>0.0000001</formula>
    </cfRule>
  </conditionalFormatting>
  <conditionalFormatting sqref="I48:L52">
    <cfRule type="cellIs" dxfId="69" priority="66" operator="equal">
      <formula>0.0000001</formula>
    </cfRule>
    <cfRule type="cellIs" dxfId="68" priority="67" operator="equal">
      <formula>0.000001</formula>
    </cfRule>
  </conditionalFormatting>
  <conditionalFormatting sqref="I63:M67">
    <cfRule type="cellIs" dxfId="67" priority="59" operator="equal">
      <formula>0.0000001</formula>
    </cfRule>
    <cfRule type="cellIs" dxfId="66" priority="64" operator="equal">
      <formula>0</formula>
    </cfRule>
  </conditionalFormatting>
  <conditionalFormatting sqref="I63:M64">
    <cfRule type="cellIs" dxfId="65" priority="63" operator="equal">
      <formula>0</formula>
    </cfRule>
  </conditionalFormatting>
  <conditionalFormatting sqref="W78:W82">
    <cfRule type="cellIs" dxfId="64" priority="19" operator="lessThan">
      <formula>0.0000001</formula>
    </cfRule>
  </conditionalFormatting>
  <conditionalFormatting sqref="I63:L67">
    <cfRule type="cellIs" dxfId="63" priority="60" operator="equal">
      <formula>0.0000001</formula>
    </cfRule>
    <cfRule type="cellIs" dxfId="62" priority="61" operator="equal">
      <formula>0.000001</formula>
    </cfRule>
  </conditionalFormatting>
  <conditionalFormatting sqref="I78:M82">
    <cfRule type="cellIs" dxfId="61" priority="53" operator="equal">
      <formula>0.0000001</formula>
    </cfRule>
    <cfRule type="cellIs" dxfId="60" priority="58" operator="equal">
      <formula>0</formula>
    </cfRule>
  </conditionalFormatting>
  <conditionalFormatting sqref="I78:M79">
    <cfRule type="cellIs" dxfId="59" priority="57" operator="equal">
      <formula>0</formula>
    </cfRule>
  </conditionalFormatting>
  <conditionalFormatting sqref="H79:H82">
    <cfRule type="cellIs" dxfId="58" priority="56" operator="lessThan">
      <formula>0.0000001</formula>
    </cfRule>
  </conditionalFormatting>
  <conditionalFormatting sqref="I78:L82">
    <cfRule type="cellIs" dxfId="57" priority="54" operator="equal">
      <formula>0.0000001</formula>
    </cfRule>
    <cfRule type="cellIs" dxfId="56" priority="55" operator="equal">
      <formula>0.000001</formula>
    </cfRule>
  </conditionalFormatting>
  <conditionalFormatting sqref="I93:M97">
    <cfRule type="cellIs" dxfId="55" priority="47" operator="equal">
      <formula>0.0000001</formula>
    </cfRule>
    <cfRule type="cellIs" dxfId="54" priority="52" operator="equal">
      <formula>0</formula>
    </cfRule>
  </conditionalFormatting>
  <conditionalFormatting sqref="I93:M94">
    <cfRule type="cellIs" dxfId="53" priority="51" operator="equal">
      <formula>0</formula>
    </cfRule>
  </conditionalFormatting>
  <conditionalFormatting sqref="H94:H97">
    <cfRule type="cellIs" dxfId="52" priority="50" operator="lessThan">
      <formula>0.0000001</formula>
    </cfRule>
  </conditionalFormatting>
  <conditionalFormatting sqref="I93:L97">
    <cfRule type="cellIs" dxfId="51" priority="48" operator="equal">
      <formula>0.0000001</formula>
    </cfRule>
    <cfRule type="cellIs" dxfId="50" priority="49" operator="equal">
      <formula>0.000001</formula>
    </cfRule>
  </conditionalFormatting>
  <conditionalFormatting sqref="Y25">
    <cfRule type="cellIs" dxfId="49" priority="46" operator="lessThan">
      <formula>0.000001</formula>
    </cfRule>
  </conditionalFormatting>
  <conditionalFormatting sqref="Y40">
    <cfRule type="cellIs" dxfId="48" priority="45" operator="lessThan">
      <formula>0.000001</formula>
    </cfRule>
  </conditionalFormatting>
  <conditionalFormatting sqref="Y55">
    <cfRule type="cellIs" dxfId="47" priority="44" operator="lessThan">
      <formula>0.000001</formula>
    </cfRule>
  </conditionalFormatting>
  <conditionalFormatting sqref="Y70">
    <cfRule type="cellIs" dxfId="46" priority="43" operator="lessThan">
      <formula>0.000001</formula>
    </cfRule>
  </conditionalFormatting>
  <conditionalFormatting sqref="Y85">
    <cfRule type="cellIs" dxfId="45" priority="42" operator="lessThan">
      <formula>0.000001</formula>
    </cfRule>
  </conditionalFormatting>
  <conditionalFormatting sqref="M41:M44">
    <cfRule type="cellIs" dxfId="44" priority="4" operator="lessThan">
      <formula>0.0000001</formula>
    </cfRule>
  </conditionalFormatting>
  <conditionalFormatting sqref="W18:W22">
    <cfRule type="cellIs" dxfId="43" priority="41" operator="lessThan">
      <formula>0.0000001</formula>
    </cfRule>
  </conditionalFormatting>
  <conditionalFormatting sqref="W26:W30">
    <cfRule type="cellIs" dxfId="42" priority="40" operator="lessThan">
      <formula>0.0000001</formula>
    </cfRule>
  </conditionalFormatting>
  <conditionalFormatting sqref="W33:W37">
    <cfRule type="cellIs" dxfId="41" priority="38" operator="lessThan">
      <formula>0.0000001</formula>
    </cfRule>
  </conditionalFormatting>
  <conditionalFormatting sqref="W41:W45">
    <cfRule type="cellIs" dxfId="40" priority="37" operator="lessThan">
      <formula>0.0000001</formula>
    </cfRule>
  </conditionalFormatting>
  <conditionalFormatting sqref="W41:W45">
    <cfRule type="cellIs" dxfId="39" priority="36" operator="lessThan">
      <formula>0.0000001</formula>
    </cfRule>
  </conditionalFormatting>
  <conditionalFormatting sqref="W48:W52">
    <cfRule type="cellIs" dxfId="38" priority="35" operator="lessThan">
      <formula>0.0000001</formula>
    </cfRule>
  </conditionalFormatting>
  <conditionalFormatting sqref="W48:W52">
    <cfRule type="cellIs" dxfId="37" priority="33" operator="lessThan">
      <formula>0.0000001</formula>
    </cfRule>
  </conditionalFormatting>
  <conditionalFormatting sqref="W56:W60">
    <cfRule type="cellIs" dxfId="36" priority="32" operator="lessThan">
      <formula>0.0000001</formula>
    </cfRule>
  </conditionalFormatting>
  <conditionalFormatting sqref="W56:W60">
    <cfRule type="cellIs" dxfId="35" priority="31" operator="lessThan">
      <formula>0.0000001</formula>
    </cfRule>
  </conditionalFormatting>
  <conditionalFormatting sqref="W56:W60">
    <cfRule type="cellIs" dxfId="34" priority="30" operator="lessThan">
      <formula>0.0000001</formula>
    </cfRule>
  </conditionalFormatting>
  <conditionalFormatting sqref="W63:W67">
    <cfRule type="cellIs" dxfId="33" priority="28" operator="lessThan">
      <formula>0.0000001</formula>
    </cfRule>
  </conditionalFormatting>
  <conditionalFormatting sqref="W63:W67">
    <cfRule type="cellIs" dxfId="32" priority="27" operator="lessThan">
      <formula>0.0000001</formula>
    </cfRule>
  </conditionalFormatting>
  <conditionalFormatting sqref="W63:W67">
    <cfRule type="cellIs" dxfId="31" priority="26" operator="lessThan">
      <formula>0.0000001</formula>
    </cfRule>
  </conditionalFormatting>
  <conditionalFormatting sqref="W71:W75">
    <cfRule type="cellIs" dxfId="30" priority="25" operator="lessThan">
      <formula>0.0000001</formula>
    </cfRule>
  </conditionalFormatting>
  <conditionalFormatting sqref="W71:W75">
    <cfRule type="cellIs" dxfId="29" priority="23" operator="lessThan">
      <formula>0.0000001</formula>
    </cfRule>
  </conditionalFormatting>
  <conditionalFormatting sqref="W71:W75">
    <cfRule type="cellIs" dxfId="28" priority="22" operator="lessThan">
      <formula>0.0000001</formula>
    </cfRule>
  </conditionalFormatting>
  <conditionalFormatting sqref="W78:W82">
    <cfRule type="cellIs" dxfId="27" priority="21" operator="lessThan">
      <formula>0.0000001</formula>
    </cfRule>
  </conditionalFormatting>
  <conditionalFormatting sqref="W78:W82">
    <cfRule type="cellIs" dxfId="26" priority="20" operator="lessThan">
      <formula>0.0000001</formula>
    </cfRule>
  </conditionalFormatting>
  <conditionalFormatting sqref="W78:W82">
    <cfRule type="cellIs" dxfId="25" priority="18" operator="lessThan">
      <formula>0.0000001</formula>
    </cfRule>
  </conditionalFormatting>
  <conditionalFormatting sqref="W78:W82">
    <cfRule type="cellIs" dxfId="24" priority="17" operator="lessThan">
      <formula>0.0000001</formula>
    </cfRule>
  </conditionalFormatting>
  <conditionalFormatting sqref="W86:W90">
    <cfRule type="cellIs" dxfId="23" priority="16" operator="lessThan">
      <formula>0.0000001</formula>
    </cfRule>
  </conditionalFormatting>
  <conditionalFormatting sqref="W86:W90">
    <cfRule type="cellIs" dxfId="22" priority="15" operator="lessThan">
      <formula>0.0000001</formula>
    </cfRule>
  </conditionalFormatting>
  <conditionalFormatting sqref="W86:W90">
    <cfRule type="cellIs" dxfId="21" priority="14" operator="lessThan">
      <formula>0.0000001</formula>
    </cfRule>
  </conditionalFormatting>
  <conditionalFormatting sqref="W86:W90">
    <cfRule type="cellIs" dxfId="20" priority="13" operator="lessThan">
      <formula>0.0000001</formula>
    </cfRule>
  </conditionalFormatting>
  <conditionalFormatting sqref="W86:W90">
    <cfRule type="cellIs" dxfId="19" priority="12" operator="lessThan">
      <formula>0.0000001</formula>
    </cfRule>
  </conditionalFormatting>
  <conditionalFormatting sqref="W93:W97">
    <cfRule type="cellIs" dxfId="18" priority="11" operator="lessThan">
      <formula>0.0000001</formula>
    </cfRule>
  </conditionalFormatting>
  <conditionalFormatting sqref="W93:W97">
    <cfRule type="cellIs" dxfId="17" priority="10" operator="lessThan">
      <formula>0.0000001</formula>
    </cfRule>
  </conditionalFormatting>
  <conditionalFormatting sqref="W93:W97">
    <cfRule type="cellIs" dxfId="16" priority="9" operator="lessThan">
      <formula>0.0000001</formula>
    </cfRule>
  </conditionalFormatting>
  <conditionalFormatting sqref="W93:W97">
    <cfRule type="cellIs" dxfId="15" priority="8" operator="lessThan">
      <formula>0.0000001</formula>
    </cfRule>
  </conditionalFormatting>
  <conditionalFormatting sqref="W93:W97">
    <cfRule type="cellIs" dxfId="14" priority="7" operator="lessThan">
      <formula>0.0000001</formula>
    </cfRule>
  </conditionalFormatting>
  <conditionalFormatting sqref="W93:W97">
    <cfRule type="cellIs" dxfId="13" priority="6" operator="lessThan">
      <formula>0.0000001</formula>
    </cfRule>
  </conditionalFormatting>
  <conditionalFormatting sqref="M44">
    <cfRule type="cellIs" dxfId="12" priority="5" operator="lessThan">
      <formula>0.0000001</formula>
    </cfRule>
  </conditionalFormatting>
  <conditionalFormatting sqref="N12:N15">
    <cfRule type="cellIs" dxfId="11" priority="3" operator="lessThan">
      <formula>0.0000001</formula>
    </cfRule>
  </conditionalFormatting>
  <conditionalFormatting sqref="I41:I42">
    <cfRule type="cellIs" dxfId="10" priority="2" operator="equal">
      <formula>0.0000001</formula>
    </cfRule>
  </conditionalFormatting>
  <conditionalFormatting sqref="I27">
    <cfRule type="cellIs" dxfId="9" priority="1" operator="equal">
      <formula>0.0000001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B6C578CE-FD59-4B99-867A-04DC8B18AD94}">
          <x14:formula1>
            <xm:f>MateriaalDatabank!$B$100:$B$245</xm:f>
          </x14:formula1>
          <xm:sqref>F11:G11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033D9-0611-40B8-9B7F-1FC4722C31C0}">
  <sheetPr>
    <tabColor rgb="FFFFFFCC"/>
  </sheetPr>
  <dimension ref="A1:AE280"/>
  <sheetViews>
    <sheetView showGridLines="0" workbookViewId="0">
      <pane ySplit="2970" topLeftCell="A5" activePane="bottomLeft"/>
      <selection activeCell="J4" sqref="J4"/>
      <selection pane="bottomLeft" activeCell="C103" sqref="C103"/>
    </sheetView>
  </sheetViews>
  <sheetFormatPr defaultColWidth="8.85546875" defaultRowHeight="15" x14ac:dyDescent="0.25"/>
  <cols>
    <col min="1" max="1" width="3.7109375" style="95" customWidth="1"/>
    <col min="2" max="2" width="30.42578125" style="95" bestFit="1" customWidth="1"/>
    <col min="3" max="3" width="20.7109375" style="95" customWidth="1"/>
    <col min="4" max="5" width="20.7109375" style="116" customWidth="1"/>
    <col min="6" max="9" width="8.85546875" style="97"/>
    <col min="10" max="10" width="11" style="97" bestFit="1" customWidth="1"/>
    <col min="11" max="31" width="8.85546875" style="97"/>
    <col min="32" max="16384" width="8.85546875" style="95"/>
  </cols>
  <sheetData>
    <row r="1" spans="1:21" s="97" customFormat="1" x14ac:dyDescent="0.25">
      <c r="A1" s="96" t="s">
        <v>115</v>
      </c>
      <c r="B1" s="96"/>
      <c r="C1" s="96"/>
      <c r="D1" s="96"/>
      <c r="E1" s="96"/>
    </row>
    <row r="2" spans="1:21" s="97" customFormat="1" ht="76.900000000000006" customHeight="1" x14ac:dyDescent="0.25">
      <c r="D2" s="98"/>
      <c r="E2" s="98"/>
    </row>
    <row r="3" spans="1:21" s="97" customFormat="1" ht="30" x14ac:dyDescent="0.25">
      <c r="A3" s="99"/>
      <c r="B3" s="99"/>
      <c r="C3" s="100" t="s">
        <v>166</v>
      </c>
      <c r="D3" s="101" t="s">
        <v>96</v>
      </c>
      <c r="E3" s="102" t="s">
        <v>97</v>
      </c>
      <c r="U3" s="103"/>
    </row>
    <row r="4" spans="1:21" s="106" customFormat="1" x14ac:dyDescent="0.25">
      <c r="A4" s="99"/>
      <c r="B4" s="99" t="s">
        <v>5</v>
      </c>
      <c r="C4" s="99" t="s">
        <v>95</v>
      </c>
      <c r="D4" s="104" t="s">
        <v>94</v>
      </c>
      <c r="E4" s="105" t="s">
        <v>2</v>
      </c>
    </row>
    <row r="5" spans="1:21" s="97" customFormat="1" x14ac:dyDescent="0.25">
      <c r="B5" s="107" t="s">
        <v>134</v>
      </c>
      <c r="C5" s="108" t="s">
        <v>3</v>
      </c>
      <c r="D5" s="109" t="s">
        <v>4</v>
      </c>
      <c r="E5" s="109" t="s">
        <v>6</v>
      </c>
    </row>
    <row r="6" spans="1:21" s="97" customFormat="1" hidden="1" x14ac:dyDescent="0.25">
      <c r="D6" s="98"/>
      <c r="E6" s="98"/>
    </row>
    <row r="7" spans="1:21" s="97" customFormat="1" hidden="1" x14ac:dyDescent="0.25">
      <c r="D7" s="98"/>
      <c r="E7" s="98"/>
    </row>
    <row r="8" spans="1:21" s="97" customFormat="1" hidden="1" x14ac:dyDescent="0.25">
      <c r="D8" s="98"/>
      <c r="E8" s="98"/>
    </row>
    <row r="9" spans="1:21" s="97" customFormat="1" hidden="1" x14ac:dyDescent="0.25">
      <c r="D9" s="98"/>
      <c r="E9" s="98"/>
    </row>
    <row r="10" spans="1:21" s="97" customFormat="1" hidden="1" x14ac:dyDescent="0.25">
      <c r="D10" s="98"/>
      <c r="E10" s="98"/>
    </row>
    <row r="11" spans="1:21" s="97" customFormat="1" hidden="1" x14ac:dyDescent="0.25">
      <c r="D11" s="98"/>
      <c r="E11" s="98"/>
    </row>
    <row r="12" spans="1:21" s="97" customFormat="1" hidden="1" x14ac:dyDescent="0.25">
      <c r="D12" s="98"/>
      <c r="E12" s="98"/>
    </row>
    <row r="13" spans="1:21" s="97" customFormat="1" hidden="1" x14ac:dyDescent="0.25">
      <c r="D13" s="98"/>
      <c r="E13" s="98"/>
    </row>
    <row r="14" spans="1:21" s="97" customFormat="1" hidden="1" x14ac:dyDescent="0.25">
      <c r="D14" s="98"/>
      <c r="E14" s="98"/>
    </row>
    <row r="15" spans="1:21" s="97" customFormat="1" hidden="1" x14ac:dyDescent="0.25">
      <c r="D15" s="98"/>
      <c r="E15" s="98"/>
    </row>
    <row r="16" spans="1:21" s="97" customFormat="1" hidden="1" x14ac:dyDescent="0.25">
      <c r="D16" s="98"/>
      <c r="E16" s="98"/>
    </row>
    <row r="17" spans="4:5" s="97" customFormat="1" hidden="1" x14ac:dyDescent="0.25">
      <c r="D17" s="98"/>
      <c r="E17" s="98"/>
    </row>
    <row r="18" spans="4:5" s="97" customFormat="1" hidden="1" x14ac:dyDescent="0.25">
      <c r="D18" s="98"/>
      <c r="E18" s="98"/>
    </row>
    <row r="19" spans="4:5" s="97" customFormat="1" hidden="1" x14ac:dyDescent="0.25">
      <c r="D19" s="98"/>
      <c r="E19" s="98"/>
    </row>
    <row r="20" spans="4:5" s="97" customFormat="1" hidden="1" x14ac:dyDescent="0.25">
      <c r="D20" s="98"/>
      <c r="E20" s="98"/>
    </row>
    <row r="21" spans="4:5" s="97" customFormat="1" hidden="1" x14ac:dyDescent="0.25">
      <c r="D21" s="98"/>
      <c r="E21" s="98"/>
    </row>
    <row r="22" spans="4:5" s="97" customFormat="1" hidden="1" x14ac:dyDescent="0.25">
      <c r="D22" s="98"/>
      <c r="E22" s="98"/>
    </row>
    <row r="23" spans="4:5" s="97" customFormat="1" hidden="1" x14ac:dyDescent="0.25">
      <c r="D23" s="98"/>
      <c r="E23" s="98"/>
    </row>
    <row r="24" spans="4:5" s="97" customFormat="1" hidden="1" x14ac:dyDescent="0.25">
      <c r="D24" s="98"/>
      <c r="E24" s="98"/>
    </row>
    <row r="25" spans="4:5" s="97" customFormat="1" hidden="1" x14ac:dyDescent="0.25">
      <c r="D25" s="98"/>
      <c r="E25" s="98"/>
    </row>
    <row r="26" spans="4:5" s="97" customFormat="1" hidden="1" x14ac:dyDescent="0.25">
      <c r="D26" s="98"/>
      <c r="E26" s="98"/>
    </row>
    <row r="27" spans="4:5" s="97" customFormat="1" hidden="1" x14ac:dyDescent="0.25">
      <c r="D27" s="98"/>
      <c r="E27" s="98"/>
    </row>
    <row r="28" spans="4:5" s="97" customFormat="1" hidden="1" x14ac:dyDescent="0.25">
      <c r="D28" s="98"/>
      <c r="E28" s="98"/>
    </row>
    <row r="29" spans="4:5" s="97" customFormat="1" hidden="1" x14ac:dyDescent="0.25">
      <c r="D29" s="98"/>
      <c r="E29" s="98"/>
    </row>
    <row r="30" spans="4:5" s="97" customFormat="1" hidden="1" x14ac:dyDescent="0.25">
      <c r="D30" s="98"/>
      <c r="E30" s="98"/>
    </row>
    <row r="31" spans="4:5" s="97" customFormat="1" hidden="1" x14ac:dyDescent="0.25">
      <c r="D31" s="98"/>
      <c r="E31" s="98"/>
    </row>
    <row r="32" spans="4:5" s="97" customFormat="1" hidden="1" x14ac:dyDescent="0.25">
      <c r="D32" s="98"/>
      <c r="E32" s="98"/>
    </row>
    <row r="33" spans="4:5" s="97" customFormat="1" hidden="1" x14ac:dyDescent="0.25">
      <c r="D33" s="98"/>
      <c r="E33" s="98"/>
    </row>
    <row r="34" spans="4:5" s="97" customFormat="1" hidden="1" x14ac:dyDescent="0.25">
      <c r="D34" s="98"/>
      <c r="E34" s="98"/>
    </row>
    <row r="35" spans="4:5" s="97" customFormat="1" hidden="1" x14ac:dyDescent="0.25">
      <c r="D35" s="98"/>
      <c r="E35" s="98"/>
    </row>
    <row r="36" spans="4:5" s="97" customFormat="1" hidden="1" x14ac:dyDescent="0.25">
      <c r="D36" s="98"/>
      <c r="E36" s="98"/>
    </row>
    <row r="37" spans="4:5" s="97" customFormat="1" hidden="1" x14ac:dyDescent="0.25">
      <c r="D37" s="98"/>
      <c r="E37" s="98"/>
    </row>
    <row r="38" spans="4:5" s="97" customFormat="1" hidden="1" x14ac:dyDescent="0.25">
      <c r="D38" s="98"/>
      <c r="E38" s="98"/>
    </row>
    <row r="39" spans="4:5" s="97" customFormat="1" hidden="1" x14ac:dyDescent="0.25">
      <c r="D39" s="98"/>
      <c r="E39" s="98"/>
    </row>
    <row r="40" spans="4:5" s="97" customFormat="1" hidden="1" x14ac:dyDescent="0.25">
      <c r="D40" s="98"/>
      <c r="E40" s="98"/>
    </row>
    <row r="41" spans="4:5" s="97" customFormat="1" hidden="1" x14ac:dyDescent="0.25">
      <c r="D41" s="98"/>
      <c r="E41" s="98"/>
    </row>
    <row r="42" spans="4:5" s="97" customFormat="1" hidden="1" x14ac:dyDescent="0.25">
      <c r="D42" s="98"/>
      <c r="E42" s="98"/>
    </row>
    <row r="43" spans="4:5" s="97" customFormat="1" hidden="1" x14ac:dyDescent="0.25">
      <c r="D43" s="98"/>
      <c r="E43" s="98"/>
    </row>
    <row r="44" spans="4:5" s="97" customFormat="1" hidden="1" x14ac:dyDescent="0.25">
      <c r="D44" s="98"/>
      <c r="E44" s="98"/>
    </row>
    <row r="45" spans="4:5" s="97" customFormat="1" hidden="1" x14ac:dyDescent="0.25">
      <c r="D45" s="98"/>
      <c r="E45" s="98"/>
    </row>
    <row r="46" spans="4:5" s="97" customFormat="1" hidden="1" x14ac:dyDescent="0.25">
      <c r="D46" s="98"/>
      <c r="E46" s="98"/>
    </row>
    <row r="47" spans="4:5" s="97" customFormat="1" hidden="1" x14ac:dyDescent="0.25">
      <c r="D47" s="98"/>
      <c r="E47" s="98"/>
    </row>
    <row r="48" spans="4:5" s="97" customFormat="1" hidden="1" x14ac:dyDescent="0.25">
      <c r="D48" s="98"/>
      <c r="E48" s="98"/>
    </row>
    <row r="49" spans="4:5" s="97" customFormat="1" hidden="1" x14ac:dyDescent="0.25">
      <c r="D49" s="98"/>
      <c r="E49" s="98"/>
    </row>
    <row r="50" spans="4:5" s="97" customFormat="1" hidden="1" x14ac:dyDescent="0.25">
      <c r="D50" s="98"/>
      <c r="E50" s="98"/>
    </row>
    <row r="51" spans="4:5" s="97" customFormat="1" hidden="1" x14ac:dyDescent="0.25">
      <c r="D51" s="98"/>
      <c r="E51" s="98"/>
    </row>
    <row r="52" spans="4:5" s="97" customFormat="1" hidden="1" x14ac:dyDescent="0.25">
      <c r="D52" s="98"/>
      <c r="E52" s="98"/>
    </row>
    <row r="53" spans="4:5" s="97" customFormat="1" hidden="1" x14ac:dyDescent="0.25">
      <c r="D53" s="98"/>
      <c r="E53" s="98"/>
    </row>
    <row r="54" spans="4:5" s="97" customFormat="1" hidden="1" x14ac:dyDescent="0.25">
      <c r="D54" s="98"/>
      <c r="E54" s="98"/>
    </row>
    <row r="55" spans="4:5" s="97" customFormat="1" hidden="1" x14ac:dyDescent="0.25">
      <c r="D55" s="98"/>
      <c r="E55" s="98"/>
    </row>
    <row r="56" spans="4:5" s="97" customFormat="1" hidden="1" x14ac:dyDescent="0.25">
      <c r="D56" s="98"/>
      <c r="E56" s="98"/>
    </row>
    <row r="57" spans="4:5" s="97" customFormat="1" hidden="1" x14ac:dyDescent="0.25">
      <c r="D57" s="98"/>
      <c r="E57" s="98"/>
    </row>
    <row r="58" spans="4:5" s="97" customFormat="1" hidden="1" x14ac:dyDescent="0.25">
      <c r="D58" s="98"/>
      <c r="E58" s="98"/>
    </row>
    <row r="59" spans="4:5" s="97" customFormat="1" hidden="1" x14ac:dyDescent="0.25">
      <c r="D59" s="98"/>
      <c r="E59" s="98"/>
    </row>
    <row r="60" spans="4:5" s="97" customFormat="1" hidden="1" x14ac:dyDescent="0.25">
      <c r="D60" s="98"/>
      <c r="E60" s="98"/>
    </row>
    <row r="61" spans="4:5" s="97" customFormat="1" hidden="1" x14ac:dyDescent="0.25">
      <c r="D61" s="98"/>
      <c r="E61" s="98"/>
    </row>
    <row r="62" spans="4:5" s="97" customFormat="1" hidden="1" x14ac:dyDescent="0.25">
      <c r="D62" s="98"/>
      <c r="E62" s="98"/>
    </row>
    <row r="63" spans="4:5" s="97" customFormat="1" hidden="1" x14ac:dyDescent="0.25">
      <c r="D63" s="98"/>
      <c r="E63" s="98"/>
    </row>
    <row r="64" spans="4:5" s="97" customFormat="1" hidden="1" x14ac:dyDescent="0.25">
      <c r="D64" s="98"/>
      <c r="E64" s="98"/>
    </row>
    <row r="65" spans="4:5" s="97" customFormat="1" hidden="1" x14ac:dyDescent="0.25">
      <c r="D65" s="98"/>
      <c r="E65" s="98"/>
    </row>
    <row r="66" spans="4:5" s="97" customFormat="1" hidden="1" x14ac:dyDescent="0.25">
      <c r="D66" s="98"/>
      <c r="E66" s="98"/>
    </row>
    <row r="67" spans="4:5" s="97" customFormat="1" hidden="1" x14ac:dyDescent="0.25">
      <c r="D67" s="98"/>
      <c r="E67" s="98"/>
    </row>
    <row r="68" spans="4:5" s="97" customFormat="1" hidden="1" x14ac:dyDescent="0.25">
      <c r="D68" s="98"/>
      <c r="E68" s="98"/>
    </row>
    <row r="69" spans="4:5" s="97" customFormat="1" hidden="1" x14ac:dyDescent="0.25">
      <c r="D69" s="98"/>
      <c r="E69" s="98"/>
    </row>
    <row r="70" spans="4:5" s="97" customFormat="1" hidden="1" x14ac:dyDescent="0.25">
      <c r="D70" s="98"/>
      <c r="E70" s="98"/>
    </row>
    <row r="71" spans="4:5" s="97" customFormat="1" hidden="1" x14ac:dyDescent="0.25">
      <c r="D71" s="98"/>
      <c r="E71" s="98"/>
    </row>
    <row r="72" spans="4:5" s="97" customFormat="1" hidden="1" x14ac:dyDescent="0.25">
      <c r="D72" s="98"/>
      <c r="E72" s="98"/>
    </row>
    <row r="73" spans="4:5" s="97" customFormat="1" hidden="1" x14ac:dyDescent="0.25">
      <c r="D73" s="98"/>
      <c r="E73" s="98"/>
    </row>
    <row r="74" spans="4:5" s="97" customFormat="1" hidden="1" x14ac:dyDescent="0.25">
      <c r="D74" s="98"/>
      <c r="E74" s="98"/>
    </row>
    <row r="75" spans="4:5" s="97" customFormat="1" hidden="1" x14ac:dyDescent="0.25">
      <c r="D75" s="98"/>
      <c r="E75" s="98"/>
    </row>
    <row r="76" spans="4:5" s="97" customFormat="1" hidden="1" x14ac:dyDescent="0.25">
      <c r="D76" s="98"/>
      <c r="E76" s="98"/>
    </row>
    <row r="77" spans="4:5" s="97" customFormat="1" hidden="1" x14ac:dyDescent="0.25">
      <c r="D77" s="98"/>
      <c r="E77" s="98"/>
    </row>
    <row r="78" spans="4:5" s="97" customFormat="1" hidden="1" x14ac:dyDescent="0.25">
      <c r="D78" s="98"/>
      <c r="E78" s="98"/>
    </row>
    <row r="79" spans="4:5" s="97" customFormat="1" hidden="1" x14ac:dyDescent="0.25">
      <c r="D79" s="98"/>
      <c r="E79" s="98"/>
    </row>
    <row r="80" spans="4:5" s="97" customFormat="1" hidden="1" x14ac:dyDescent="0.25">
      <c r="D80" s="98"/>
      <c r="E80" s="98"/>
    </row>
    <row r="81" spans="4:5" s="97" customFormat="1" hidden="1" x14ac:dyDescent="0.25">
      <c r="D81" s="98"/>
      <c r="E81" s="98"/>
    </row>
    <row r="82" spans="4:5" s="97" customFormat="1" hidden="1" x14ac:dyDescent="0.25">
      <c r="D82" s="98"/>
      <c r="E82" s="98"/>
    </row>
    <row r="83" spans="4:5" s="97" customFormat="1" hidden="1" x14ac:dyDescent="0.25">
      <c r="D83" s="98"/>
      <c r="E83" s="98"/>
    </row>
    <row r="84" spans="4:5" s="97" customFormat="1" hidden="1" x14ac:dyDescent="0.25">
      <c r="D84" s="98"/>
      <c r="E84" s="98"/>
    </row>
    <row r="85" spans="4:5" s="97" customFormat="1" hidden="1" x14ac:dyDescent="0.25">
      <c r="D85" s="98"/>
      <c r="E85" s="98"/>
    </row>
    <row r="86" spans="4:5" s="97" customFormat="1" hidden="1" x14ac:dyDescent="0.25">
      <c r="D86" s="98"/>
      <c r="E86" s="98"/>
    </row>
    <row r="87" spans="4:5" s="97" customFormat="1" hidden="1" x14ac:dyDescent="0.25">
      <c r="D87" s="98"/>
      <c r="E87" s="98"/>
    </row>
    <row r="88" spans="4:5" s="97" customFormat="1" hidden="1" x14ac:dyDescent="0.25">
      <c r="D88" s="98"/>
      <c r="E88" s="98"/>
    </row>
    <row r="89" spans="4:5" s="97" customFormat="1" hidden="1" x14ac:dyDescent="0.25">
      <c r="D89" s="98"/>
      <c r="E89" s="98"/>
    </row>
    <row r="90" spans="4:5" s="97" customFormat="1" hidden="1" x14ac:dyDescent="0.25">
      <c r="D90" s="98"/>
      <c r="E90" s="98"/>
    </row>
    <row r="91" spans="4:5" s="97" customFormat="1" hidden="1" x14ac:dyDescent="0.25">
      <c r="D91" s="98"/>
      <c r="E91" s="98"/>
    </row>
    <row r="92" spans="4:5" s="97" customFormat="1" hidden="1" x14ac:dyDescent="0.25">
      <c r="D92" s="98"/>
      <c r="E92" s="98"/>
    </row>
    <row r="93" spans="4:5" s="97" customFormat="1" hidden="1" x14ac:dyDescent="0.25">
      <c r="D93" s="98"/>
      <c r="E93" s="98"/>
    </row>
    <row r="94" spans="4:5" s="97" customFormat="1" hidden="1" x14ac:dyDescent="0.25">
      <c r="D94" s="98"/>
      <c r="E94" s="98"/>
    </row>
    <row r="95" spans="4:5" s="97" customFormat="1" hidden="1" x14ac:dyDescent="0.25">
      <c r="D95" s="98"/>
      <c r="E95" s="98"/>
    </row>
    <row r="96" spans="4:5" s="97" customFormat="1" hidden="1" x14ac:dyDescent="0.25">
      <c r="D96" s="98"/>
      <c r="E96" s="98"/>
    </row>
    <row r="97" spans="1:5" s="97" customFormat="1" hidden="1" x14ac:dyDescent="0.25">
      <c r="D97" s="98"/>
      <c r="E97" s="98"/>
    </row>
    <row r="98" spans="1:5" s="97" customFormat="1" hidden="1" x14ac:dyDescent="0.25">
      <c r="D98" s="98"/>
      <c r="E98" s="98"/>
    </row>
    <row r="99" spans="1:5" s="97" customFormat="1" x14ac:dyDescent="0.25">
      <c r="A99" s="21" t="s">
        <v>10</v>
      </c>
      <c r="B99" s="21"/>
      <c r="C99" s="21"/>
      <c r="D99" s="96"/>
      <c r="E99" s="96"/>
    </row>
    <row r="100" spans="1:5" s="97" customFormat="1" x14ac:dyDescent="0.25">
      <c r="A100" s="97">
        <v>100</v>
      </c>
      <c r="B100" s="107" t="s">
        <v>7</v>
      </c>
      <c r="C100" s="108">
        <v>72</v>
      </c>
      <c r="D100" s="109">
        <v>7900</v>
      </c>
      <c r="E100" s="109">
        <v>530</v>
      </c>
    </row>
    <row r="101" spans="1:5" s="97" customFormat="1" x14ac:dyDescent="0.25">
      <c r="A101" s="97">
        <v>101</v>
      </c>
      <c r="B101" s="107" t="s">
        <v>8</v>
      </c>
      <c r="C101" s="108">
        <v>45</v>
      </c>
      <c r="D101" s="109">
        <v>7800</v>
      </c>
      <c r="E101" s="109">
        <v>500</v>
      </c>
    </row>
    <row r="102" spans="1:5" s="97" customFormat="1" x14ac:dyDescent="0.25">
      <c r="A102" s="97">
        <v>102</v>
      </c>
      <c r="B102" s="107" t="s">
        <v>9</v>
      </c>
      <c r="C102" s="108">
        <v>200</v>
      </c>
      <c r="D102" s="109">
        <v>2800</v>
      </c>
      <c r="E102" s="109">
        <v>880</v>
      </c>
    </row>
    <row r="103" spans="1:5" s="97" customFormat="1" x14ac:dyDescent="0.25">
      <c r="A103" s="97">
        <v>103</v>
      </c>
      <c r="B103" s="107" t="s">
        <v>116</v>
      </c>
      <c r="C103" s="108">
        <v>999.99900000000002</v>
      </c>
      <c r="D103" s="109">
        <v>99999</v>
      </c>
      <c r="E103" s="109">
        <v>9999</v>
      </c>
    </row>
    <row r="104" spans="1:5" s="97" customFormat="1" hidden="1" x14ac:dyDescent="0.25">
      <c r="D104" s="98"/>
      <c r="E104" s="98"/>
    </row>
    <row r="105" spans="1:5" s="97" customFormat="1" hidden="1" x14ac:dyDescent="0.25">
      <c r="D105" s="98"/>
      <c r="E105" s="98"/>
    </row>
    <row r="106" spans="1:5" s="97" customFormat="1" hidden="1" x14ac:dyDescent="0.25">
      <c r="D106" s="98"/>
      <c r="E106" s="98"/>
    </row>
    <row r="107" spans="1:5" s="97" customFormat="1" hidden="1" x14ac:dyDescent="0.25">
      <c r="D107" s="98"/>
      <c r="E107" s="98"/>
    </row>
    <row r="108" spans="1:5" s="97" customFormat="1" hidden="1" x14ac:dyDescent="0.25">
      <c r="D108" s="98"/>
      <c r="E108" s="98"/>
    </row>
    <row r="109" spans="1:5" s="97" customFormat="1" x14ac:dyDescent="0.25">
      <c r="A109" s="21" t="s">
        <v>11</v>
      </c>
      <c r="B109" s="21"/>
      <c r="C109" s="21"/>
      <c r="D109" s="96"/>
      <c r="E109" s="96"/>
    </row>
    <row r="110" spans="1:5" s="97" customFormat="1" x14ac:dyDescent="0.25">
      <c r="A110" s="97">
        <v>110</v>
      </c>
      <c r="B110" s="107" t="s">
        <v>81</v>
      </c>
      <c r="C110" s="108">
        <v>3.5</v>
      </c>
      <c r="D110" s="109">
        <v>3000</v>
      </c>
      <c r="E110" s="109">
        <v>840</v>
      </c>
    </row>
    <row r="111" spans="1:5" s="97" customFormat="1" x14ac:dyDescent="0.25">
      <c r="A111" s="97">
        <v>111</v>
      </c>
      <c r="B111" s="107" t="s">
        <v>12</v>
      </c>
      <c r="C111" s="108">
        <v>2.2999999999999998</v>
      </c>
      <c r="D111" s="109">
        <v>2750</v>
      </c>
      <c r="E111" s="109">
        <v>840</v>
      </c>
    </row>
    <row r="112" spans="1:5" s="97" customFormat="1" x14ac:dyDescent="0.25">
      <c r="A112" s="97">
        <v>112</v>
      </c>
      <c r="B112" s="107" t="s">
        <v>13</v>
      </c>
      <c r="C112" s="108">
        <v>2.2999999999999998</v>
      </c>
      <c r="D112" s="109">
        <v>2750</v>
      </c>
      <c r="E112" s="109">
        <v>840</v>
      </c>
    </row>
    <row r="113" spans="1:5" s="97" customFormat="1" x14ac:dyDescent="0.25">
      <c r="A113" s="97">
        <v>113</v>
      </c>
      <c r="B113" s="107" t="s">
        <v>14</v>
      </c>
      <c r="C113" s="108">
        <v>2.2999999999999998</v>
      </c>
      <c r="D113" s="109">
        <v>2750</v>
      </c>
      <c r="E113" s="109">
        <v>840</v>
      </c>
    </row>
    <row r="114" spans="1:5" s="97" customFormat="1" x14ac:dyDescent="0.25">
      <c r="A114" s="97">
        <v>114</v>
      </c>
      <c r="B114" s="107" t="s">
        <v>15</v>
      </c>
      <c r="C114" s="108">
        <v>3</v>
      </c>
      <c r="D114" s="109">
        <v>2100</v>
      </c>
      <c r="E114" s="109">
        <v>840</v>
      </c>
    </row>
    <row r="115" spans="1:5" s="97" customFormat="1" x14ac:dyDescent="0.25">
      <c r="A115" s="97">
        <v>115</v>
      </c>
      <c r="B115" s="107" t="s">
        <v>117</v>
      </c>
      <c r="C115" s="108">
        <v>999.99900000000002</v>
      </c>
      <c r="D115" s="109">
        <v>99999</v>
      </c>
      <c r="E115" s="109">
        <v>9999</v>
      </c>
    </row>
    <row r="116" spans="1:5" s="97" customFormat="1" hidden="1" x14ac:dyDescent="0.25">
      <c r="D116" s="98"/>
      <c r="E116" s="98"/>
    </row>
    <row r="117" spans="1:5" s="97" customFormat="1" hidden="1" x14ac:dyDescent="0.25">
      <c r="D117" s="98"/>
      <c r="E117" s="98"/>
    </row>
    <row r="118" spans="1:5" s="97" customFormat="1" hidden="1" x14ac:dyDescent="0.25">
      <c r="D118" s="98"/>
      <c r="E118" s="98"/>
    </row>
    <row r="119" spans="1:5" s="97" customFormat="1" x14ac:dyDescent="0.25">
      <c r="A119" s="21" t="s">
        <v>16</v>
      </c>
      <c r="B119" s="21"/>
      <c r="C119" s="21"/>
      <c r="D119" s="96"/>
      <c r="E119" s="96"/>
    </row>
    <row r="120" spans="1:5" s="97" customFormat="1" x14ac:dyDescent="0.25">
      <c r="A120" s="97">
        <f t="shared" ref="A120:A125" si="0">A110+10</f>
        <v>120</v>
      </c>
      <c r="B120" s="107" t="s">
        <v>17</v>
      </c>
      <c r="C120" s="108">
        <v>0.8</v>
      </c>
      <c r="D120" s="109">
        <v>2100</v>
      </c>
      <c r="E120" s="109">
        <v>840</v>
      </c>
    </row>
    <row r="121" spans="1:5" s="97" customFormat="1" x14ac:dyDescent="0.25">
      <c r="A121" s="97">
        <f t="shared" si="0"/>
        <v>121</v>
      </c>
      <c r="B121" s="107" t="s">
        <v>18</v>
      </c>
      <c r="C121" s="108">
        <v>0.65</v>
      </c>
      <c r="D121" s="109">
        <v>1800</v>
      </c>
      <c r="E121" s="109">
        <v>840</v>
      </c>
    </row>
    <row r="122" spans="1:5" s="97" customFormat="1" x14ac:dyDescent="0.25">
      <c r="A122" s="97">
        <f t="shared" si="0"/>
        <v>122</v>
      </c>
      <c r="B122" s="107" t="s">
        <v>19</v>
      </c>
      <c r="C122" s="108">
        <v>0.55000000000000004</v>
      </c>
      <c r="D122" s="109">
        <v>1500</v>
      </c>
      <c r="E122" s="109">
        <v>840</v>
      </c>
    </row>
    <row r="123" spans="1:5" s="97" customFormat="1" x14ac:dyDescent="0.25">
      <c r="A123" s="97">
        <f t="shared" si="0"/>
        <v>123</v>
      </c>
      <c r="B123" s="107" t="s">
        <v>20</v>
      </c>
      <c r="C123" s="108">
        <v>0.3</v>
      </c>
      <c r="D123" s="109">
        <v>1000</v>
      </c>
      <c r="E123" s="109">
        <v>840</v>
      </c>
    </row>
    <row r="124" spans="1:5" s="97" customFormat="1" x14ac:dyDescent="0.25">
      <c r="A124" s="97">
        <f t="shared" si="0"/>
        <v>124</v>
      </c>
      <c r="B124" s="107" t="s">
        <v>21</v>
      </c>
      <c r="C124" s="108">
        <v>1</v>
      </c>
      <c r="D124" s="109">
        <v>2000</v>
      </c>
      <c r="E124" s="109">
        <v>840</v>
      </c>
    </row>
    <row r="125" spans="1:5" s="97" customFormat="1" x14ac:dyDescent="0.25">
      <c r="A125" s="97">
        <f t="shared" si="0"/>
        <v>125</v>
      </c>
      <c r="B125" s="107" t="s">
        <v>118</v>
      </c>
      <c r="C125" s="108">
        <v>99.998999999999995</v>
      </c>
      <c r="D125" s="109">
        <v>9999</v>
      </c>
      <c r="E125" s="109">
        <v>999</v>
      </c>
    </row>
    <row r="126" spans="1:5" s="97" customFormat="1" hidden="1" x14ac:dyDescent="0.25">
      <c r="D126" s="98"/>
      <c r="E126" s="98"/>
    </row>
    <row r="127" spans="1:5" s="97" customFormat="1" hidden="1" x14ac:dyDescent="0.25">
      <c r="D127" s="98"/>
      <c r="E127" s="98"/>
    </row>
    <row r="128" spans="1:5" s="97" customFormat="1" hidden="1" x14ac:dyDescent="0.25">
      <c r="D128" s="98"/>
      <c r="E128" s="98"/>
    </row>
    <row r="129" spans="1:5" s="97" customFormat="1" x14ac:dyDescent="0.25">
      <c r="A129" s="21" t="s">
        <v>22</v>
      </c>
      <c r="B129" s="21"/>
      <c r="C129" s="21"/>
      <c r="D129" s="96"/>
      <c r="E129" s="96"/>
    </row>
    <row r="130" spans="1:5" s="97" customFormat="1" x14ac:dyDescent="0.25">
      <c r="A130" s="97">
        <f>A120+10</f>
        <v>130</v>
      </c>
      <c r="B130" s="107" t="s">
        <v>23</v>
      </c>
      <c r="C130" s="108">
        <v>1.9</v>
      </c>
      <c r="D130" s="109">
        <v>2500</v>
      </c>
      <c r="E130" s="109">
        <v>840</v>
      </c>
    </row>
    <row r="131" spans="1:5" s="97" customFormat="1" x14ac:dyDescent="0.25">
      <c r="A131" s="97">
        <f>A121+10</f>
        <v>131</v>
      </c>
      <c r="B131" s="107" t="s">
        <v>24</v>
      </c>
      <c r="C131" s="108">
        <v>1.7</v>
      </c>
      <c r="D131" s="109">
        <v>2400</v>
      </c>
      <c r="E131" s="109">
        <v>840</v>
      </c>
    </row>
    <row r="132" spans="1:5" s="97" customFormat="1" x14ac:dyDescent="0.25">
      <c r="A132" s="97">
        <f>A122+10</f>
        <v>132</v>
      </c>
      <c r="B132" s="107" t="s">
        <v>25</v>
      </c>
      <c r="C132" s="108">
        <v>1.4</v>
      </c>
      <c r="D132" s="109">
        <v>2300</v>
      </c>
      <c r="E132" s="109">
        <v>840</v>
      </c>
    </row>
    <row r="133" spans="1:5" s="97" customFormat="1" x14ac:dyDescent="0.25">
      <c r="A133" s="97">
        <f>A123+10</f>
        <v>133</v>
      </c>
      <c r="B133" s="107" t="s">
        <v>26</v>
      </c>
      <c r="C133" s="108">
        <v>1.3</v>
      </c>
      <c r="D133" s="109">
        <v>2200</v>
      </c>
      <c r="E133" s="109">
        <v>840</v>
      </c>
    </row>
    <row r="134" spans="1:5" s="97" customFormat="1" x14ac:dyDescent="0.25">
      <c r="A134" s="97">
        <f>A124+10</f>
        <v>134</v>
      </c>
      <c r="B134" s="107" t="s">
        <v>119</v>
      </c>
      <c r="C134" s="108">
        <v>999.99900000000002</v>
      </c>
      <c r="D134" s="109">
        <v>99999</v>
      </c>
      <c r="E134" s="109">
        <v>9999</v>
      </c>
    </row>
    <row r="135" spans="1:5" s="97" customFormat="1" hidden="1" x14ac:dyDescent="0.25">
      <c r="D135" s="98"/>
      <c r="E135" s="98"/>
    </row>
    <row r="136" spans="1:5" s="97" customFormat="1" hidden="1" x14ac:dyDescent="0.25">
      <c r="D136" s="98"/>
      <c r="E136" s="98"/>
    </row>
    <row r="137" spans="1:5" s="97" customFormat="1" hidden="1" x14ac:dyDescent="0.25">
      <c r="D137" s="98"/>
      <c r="E137" s="98"/>
    </row>
    <row r="138" spans="1:5" s="97" customFormat="1" hidden="1" x14ac:dyDescent="0.25">
      <c r="D138" s="98"/>
      <c r="E138" s="98"/>
    </row>
    <row r="139" spans="1:5" s="97" customFormat="1" x14ac:dyDescent="0.25">
      <c r="A139" s="21" t="s">
        <v>27</v>
      </c>
      <c r="B139" s="21"/>
      <c r="C139" s="21"/>
      <c r="D139" s="96"/>
      <c r="E139" s="96"/>
    </row>
    <row r="140" spans="1:5" s="97" customFormat="1" x14ac:dyDescent="0.25">
      <c r="A140" s="97">
        <v>140</v>
      </c>
      <c r="B140" s="107" t="s">
        <v>29</v>
      </c>
      <c r="C140" s="108">
        <v>0.95</v>
      </c>
      <c r="D140" s="109">
        <v>1900</v>
      </c>
      <c r="E140" s="109">
        <v>840</v>
      </c>
    </row>
    <row r="141" spans="1:5" s="97" customFormat="1" x14ac:dyDescent="0.25">
      <c r="A141" s="97">
        <v>141</v>
      </c>
      <c r="B141" s="107" t="s">
        <v>30</v>
      </c>
      <c r="C141" s="108">
        <v>0.7</v>
      </c>
      <c r="D141" s="109">
        <v>1600</v>
      </c>
      <c r="E141" s="109">
        <v>840</v>
      </c>
    </row>
    <row r="142" spans="1:5" s="97" customFormat="1" x14ac:dyDescent="0.25">
      <c r="A142" s="97">
        <v>142</v>
      </c>
      <c r="B142" s="107" t="s">
        <v>33</v>
      </c>
      <c r="C142" s="108">
        <v>0.45</v>
      </c>
      <c r="D142" s="109">
        <v>1300</v>
      </c>
      <c r="E142" s="109">
        <v>840</v>
      </c>
    </row>
    <row r="143" spans="1:5" s="97" customFormat="1" x14ac:dyDescent="0.25">
      <c r="A143" s="97">
        <v>143</v>
      </c>
      <c r="B143" s="107" t="s">
        <v>34</v>
      </c>
      <c r="C143" s="108">
        <v>0.35</v>
      </c>
      <c r="D143" s="109">
        <v>1000</v>
      </c>
      <c r="E143" s="109">
        <v>840</v>
      </c>
    </row>
    <row r="144" spans="1:5" s="97" customFormat="1" x14ac:dyDescent="0.25">
      <c r="A144" s="97">
        <v>144</v>
      </c>
      <c r="B144" s="107" t="s">
        <v>35</v>
      </c>
      <c r="C144" s="108">
        <v>0.23</v>
      </c>
      <c r="D144" s="109">
        <v>700</v>
      </c>
      <c r="E144" s="109">
        <v>840</v>
      </c>
    </row>
    <row r="145" spans="1:5" s="97" customFormat="1" x14ac:dyDescent="0.25">
      <c r="A145" s="97">
        <v>145</v>
      </c>
      <c r="B145" s="107" t="s">
        <v>36</v>
      </c>
      <c r="C145" s="108">
        <v>0.17</v>
      </c>
      <c r="D145" s="109">
        <v>500</v>
      </c>
      <c r="E145" s="109">
        <v>840</v>
      </c>
    </row>
    <row r="146" spans="1:5" s="97" customFormat="1" x14ac:dyDescent="0.25">
      <c r="A146" s="97">
        <v>146</v>
      </c>
      <c r="B146" s="107" t="s">
        <v>37</v>
      </c>
      <c r="C146" s="108">
        <v>0.12</v>
      </c>
      <c r="D146" s="109">
        <v>300</v>
      </c>
      <c r="E146" s="109">
        <v>840</v>
      </c>
    </row>
    <row r="147" spans="1:5" s="97" customFormat="1" x14ac:dyDescent="0.25">
      <c r="A147" s="97">
        <v>147</v>
      </c>
      <c r="B147" s="107" t="s">
        <v>38</v>
      </c>
      <c r="C147" s="108">
        <v>0.08</v>
      </c>
      <c r="D147" s="109">
        <v>200</v>
      </c>
      <c r="E147" s="109">
        <v>840</v>
      </c>
    </row>
    <row r="148" spans="1:5" s="97" customFormat="1" x14ac:dyDescent="0.25">
      <c r="A148" s="97">
        <v>148</v>
      </c>
      <c r="B148" s="107" t="s">
        <v>120</v>
      </c>
      <c r="C148" s="108">
        <v>999.99900000000002</v>
      </c>
      <c r="D148" s="109">
        <v>99999</v>
      </c>
      <c r="E148" s="109">
        <v>9999</v>
      </c>
    </row>
    <row r="149" spans="1:5" s="97" customFormat="1" x14ac:dyDescent="0.25">
      <c r="A149" s="21" t="s">
        <v>28</v>
      </c>
      <c r="B149" s="21"/>
      <c r="C149" s="21"/>
      <c r="D149" s="96"/>
      <c r="E149" s="96"/>
    </row>
    <row r="150" spans="1:5" s="97" customFormat="1" x14ac:dyDescent="0.25">
      <c r="A150" s="97">
        <v>150</v>
      </c>
      <c r="B150" s="107" t="s">
        <v>31</v>
      </c>
      <c r="C150" s="108">
        <v>0.23</v>
      </c>
      <c r="D150" s="109">
        <v>700</v>
      </c>
      <c r="E150" s="109">
        <v>840</v>
      </c>
    </row>
    <row r="151" spans="1:5" s="97" customFormat="1" x14ac:dyDescent="0.25">
      <c r="A151" s="97">
        <v>151</v>
      </c>
      <c r="B151" s="107" t="s">
        <v>32</v>
      </c>
      <c r="C151" s="108">
        <v>0.35</v>
      </c>
      <c r="D151" s="109">
        <v>1000</v>
      </c>
      <c r="E151" s="109">
        <v>840</v>
      </c>
    </row>
    <row r="152" spans="1:5" s="97" customFormat="1" x14ac:dyDescent="0.25">
      <c r="A152" s="97">
        <v>152</v>
      </c>
      <c r="B152" s="107" t="s">
        <v>121</v>
      </c>
      <c r="C152" s="108">
        <v>99.998999999999995</v>
      </c>
      <c r="D152" s="109">
        <v>9999</v>
      </c>
      <c r="E152" s="109">
        <v>999</v>
      </c>
    </row>
    <row r="153" spans="1:5" s="97" customFormat="1" hidden="1" x14ac:dyDescent="0.25">
      <c r="D153" s="98"/>
      <c r="E153" s="98"/>
    </row>
    <row r="154" spans="1:5" s="97" customFormat="1" hidden="1" x14ac:dyDescent="0.25">
      <c r="D154" s="98"/>
      <c r="E154" s="98"/>
    </row>
    <row r="155" spans="1:5" s="97" customFormat="1" hidden="1" x14ac:dyDescent="0.25">
      <c r="D155" s="98"/>
      <c r="E155" s="98"/>
    </row>
    <row r="156" spans="1:5" s="97" customFormat="1" hidden="1" x14ac:dyDescent="0.25">
      <c r="D156" s="98"/>
      <c r="E156" s="98"/>
    </row>
    <row r="157" spans="1:5" s="97" customFormat="1" hidden="1" x14ac:dyDescent="0.25">
      <c r="D157" s="98"/>
      <c r="E157" s="98"/>
    </row>
    <row r="158" spans="1:5" s="97" customFormat="1" hidden="1" x14ac:dyDescent="0.25">
      <c r="D158" s="98"/>
      <c r="E158" s="98"/>
    </row>
    <row r="159" spans="1:5" s="97" customFormat="1" x14ac:dyDescent="0.25">
      <c r="A159" s="21" t="s">
        <v>39</v>
      </c>
      <c r="B159" s="21"/>
      <c r="C159" s="21"/>
      <c r="D159" s="96"/>
      <c r="E159" s="96"/>
    </row>
    <row r="160" spans="1:5" s="97" customFormat="1" x14ac:dyDescent="0.25">
      <c r="A160" s="97">
        <v>160</v>
      </c>
      <c r="B160" s="107" t="s">
        <v>40</v>
      </c>
      <c r="C160" s="108">
        <v>7.0000000000000007E-2</v>
      </c>
      <c r="D160" s="109">
        <v>220</v>
      </c>
      <c r="E160" s="109">
        <v>840</v>
      </c>
    </row>
    <row r="161" spans="1:5" s="97" customFormat="1" x14ac:dyDescent="0.25">
      <c r="A161" s="97">
        <v>161</v>
      </c>
      <c r="B161" s="107" t="s">
        <v>41</v>
      </c>
      <c r="C161" s="108">
        <v>0.11</v>
      </c>
      <c r="D161" s="109">
        <v>400</v>
      </c>
      <c r="E161" s="109">
        <v>840</v>
      </c>
    </row>
    <row r="162" spans="1:5" s="97" customFormat="1" x14ac:dyDescent="0.25">
      <c r="A162" s="97">
        <v>162</v>
      </c>
      <c r="B162" s="107" t="s">
        <v>42</v>
      </c>
      <c r="C162" s="108">
        <v>0.2</v>
      </c>
      <c r="D162" s="109">
        <v>650</v>
      </c>
      <c r="E162" s="109">
        <v>840</v>
      </c>
    </row>
    <row r="163" spans="1:5" s="97" customFormat="1" x14ac:dyDescent="0.25">
      <c r="A163" s="97">
        <v>163</v>
      </c>
      <c r="B163" s="107" t="s">
        <v>122</v>
      </c>
      <c r="C163" s="108">
        <v>999.99900000000002</v>
      </c>
      <c r="D163" s="109">
        <v>99999</v>
      </c>
      <c r="E163" s="109">
        <v>9999</v>
      </c>
    </row>
    <row r="164" spans="1:5" s="97" customFormat="1" hidden="1" x14ac:dyDescent="0.25">
      <c r="D164" s="98"/>
      <c r="E164" s="98"/>
    </row>
    <row r="165" spans="1:5" s="97" customFormat="1" hidden="1" x14ac:dyDescent="0.25">
      <c r="D165" s="98"/>
      <c r="E165" s="98"/>
    </row>
    <row r="166" spans="1:5" s="97" customFormat="1" hidden="1" x14ac:dyDescent="0.25">
      <c r="D166" s="98"/>
      <c r="E166" s="98"/>
    </row>
    <row r="167" spans="1:5" s="97" customFormat="1" hidden="1" x14ac:dyDescent="0.25">
      <c r="D167" s="98"/>
      <c r="E167" s="98"/>
    </row>
    <row r="168" spans="1:5" s="97" customFormat="1" hidden="1" x14ac:dyDescent="0.25">
      <c r="D168" s="98"/>
      <c r="E168" s="98"/>
    </row>
    <row r="169" spans="1:5" s="97" customFormat="1" x14ac:dyDescent="0.25">
      <c r="A169" s="21" t="s">
        <v>47</v>
      </c>
      <c r="B169" s="21"/>
      <c r="C169" s="21"/>
      <c r="D169" s="96"/>
      <c r="E169" s="96"/>
    </row>
    <row r="170" spans="1:5" s="97" customFormat="1" x14ac:dyDescent="0.25">
      <c r="A170" s="97">
        <v>170</v>
      </c>
      <c r="B170" s="107" t="s">
        <v>43</v>
      </c>
      <c r="C170" s="108">
        <v>0.5</v>
      </c>
      <c r="D170" s="109">
        <v>1300</v>
      </c>
      <c r="E170" s="109">
        <v>840</v>
      </c>
    </row>
    <row r="171" spans="1:5" s="97" customFormat="1" x14ac:dyDescent="0.25">
      <c r="A171" s="97">
        <v>171</v>
      </c>
      <c r="B171" s="107" t="s">
        <v>44</v>
      </c>
      <c r="C171" s="108">
        <v>0.35</v>
      </c>
      <c r="D171" s="109">
        <v>1000</v>
      </c>
      <c r="E171" s="109">
        <v>840</v>
      </c>
    </row>
    <row r="172" spans="1:5" s="97" customFormat="1" x14ac:dyDescent="0.25">
      <c r="A172" s="97">
        <v>172</v>
      </c>
      <c r="B172" s="107" t="s">
        <v>45</v>
      </c>
      <c r="C172" s="108">
        <v>0.23</v>
      </c>
      <c r="D172" s="109">
        <v>700</v>
      </c>
      <c r="E172" s="109">
        <v>840</v>
      </c>
    </row>
    <row r="173" spans="1:5" s="97" customFormat="1" x14ac:dyDescent="0.25">
      <c r="A173" s="97">
        <v>173</v>
      </c>
      <c r="B173" s="107" t="s">
        <v>46</v>
      </c>
      <c r="C173" s="108">
        <v>0.17</v>
      </c>
      <c r="D173" s="109">
        <v>400</v>
      </c>
      <c r="E173" s="109">
        <v>840</v>
      </c>
    </row>
    <row r="174" spans="1:5" s="97" customFormat="1" x14ac:dyDescent="0.25">
      <c r="A174" s="97">
        <v>174</v>
      </c>
      <c r="B174" s="107" t="s">
        <v>123</v>
      </c>
      <c r="C174" s="108">
        <v>99.998999999999995</v>
      </c>
      <c r="D174" s="109">
        <v>9999</v>
      </c>
      <c r="E174" s="109">
        <v>999</v>
      </c>
    </row>
    <row r="175" spans="1:5" s="97" customFormat="1" hidden="1" x14ac:dyDescent="0.25">
      <c r="D175" s="98"/>
      <c r="E175" s="98"/>
    </row>
    <row r="176" spans="1:5" s="97" customFormat="1" hidden="1" x14ac:dyDescent="0.25">
      <c r="D176" s="98"/>
      <c r="E176" s="98"/>
    </row>
    <row r="177" spans="1:5" s="97" customFormat="1" hidden="1" x14ac:dyDescent="0.25">
      <c r="D177" s="98"/>
      <c r="E177" s="98"/>
    </row>
    <row r="178" spans="1:5" s="97" customFormat="1" hidden="1" x14ac:dyDescent="0.25">
      <c r="D178" s="98"/>
      <c r="E178" s="98"/>
    </row>
    <row r="179" spans="1:5" s="97" customFormat="1" hidden="1" x14ac:dyDescent="0.25">
      <c r="A179" s="21" t="s">
        <v>58</v>
      </c>
      <c r="B179" s="21"/>
      <c r="C179" s="21"/>
      <c r="D179" s="96"/>
      <c r="E179" s="96"/>
    </row>
    <row r="180" spans="1:5" s="97" customFormat="1" hidden="1" x14ac:dyDescent="0.25">
      <c r="A180" s="97">
        <v>180</v>
      </c>
      <c r="B180" s="107" t="s">
        <v>48</v>
      </c>
      <c r="C180" s="108">
        <v>0.7</v>
      </c>
      <c r="D180" s="109">
        <v>1900</v>
      </c>
      <c r="E180" s="109">
        <v>840</v>
      </c>
    </row>
    <row r="181" spans="1:5" s="97" customFormat="1" hidden="1" x14ac:dyDescent="0.25">
      <c r="A181" s="97">
        <v>181</v>
      </c>
      <c r="B181" s="107" t="s">
        <v>49</v>
      </c>
      <c r="C181" s="108">
        <v>0.45</v>
      </c>
      <c r="D181" s="109">
        <v>1600</v>
      </c>
      <c r="E181" s="109">
        <v>840</v>
      </c>
    </row>
    <row r="182" spans="1:5" s="97" customFormat="1" hidden="1" x14ac:dyDescent="0.25">
      <c r="A182" s="97">
        <v>182</v>
      </c>
      <c r="B182" s="107" t="s">
        <v>50</v>
      </c>
      <c r="C182" s="108">
        <v>0.3</v>
      </c>
      <c r="D182" s="109">
        <v>1300</v>
      </c>
      <c r="E182" s="109">
        <v>840</v>
      </c>
    </row>
    <row r="183" spans="1:5" s="97" customFormat="1" hidden="1" x14ac:dyDescent="0.25">
      <c r="A183" s="97">
        <v>183</v>
      </c>
      <c r="B183" s="107" t="s">
        <v>51</v>
      </c>
      <c r="C183" s="108">
        <v>0.23</v>
      </c>
      <c r="D183" s="109">
        <v>1000</v>
      </c>
      <c r="E183" s="109">
        <v>840</v>
      </c>
    </row>
    <row r="184" spans="1:5" s="97" customFormat="1" hidden="1" x14ac:dyDescent="0.25">
      <c r="A184" s="97">
        <v>184</v>
      </c>
      <c r="B184" s="107" t="s">
        <v>124</v>
      </c>
      <c r="C184" s="108">
        <v>999.99900000000002</v>
      </c>
      <c r="D184" s="109">
        <v>99999</v>
      </c>
      <c r="E184" s="109">
        <v>9999</v>
      </c>
    </row>
    <row r="185" spans="1:5" s="97" customFormat="1" hidden="1" x14ac:dyDescent="0.25">
      <c r="D185" s="98"/>
      <c r="E185" s="98"/>
    </row>
    <row r="186" spans="1:5" s="97" customFormat="1" hidden="1" x14ac:dyDescent="0.25">
      <c r="D186" s="98"/>
      <c r="E186" s="98"/>
    </row>
    <row r="187" spans="1:5" s="97" customFormat="1" hidden="1" x14ac:dyDescent="0.25">
      <c r="D187" s="98"/>
      <c r="E187" s="98"/>
    </row>
    <row r="188" spans="1:5" s="97" customFormat="1" hidden="1" x14ac:dyDescent="0.25">
      <c r="D188" s="98"/>
      <c r="E188" s="98"/>
    </row>
    <row r="189" spans="1:5" s="97" customFormat="1" x14ac:dyDescent="0.25">
      <c r="A189" s="21" t="s">
        <v>52</v>
      </c>
      <c r="B189" s="21"/>
      <c r="C189" s="21"/>
      <c r="D189" s="96"/>
      <c r="E189" s="96"/>
    </row>
    <row r="190" spans="1:5" s="97" customFormat="1" x14ac:dyDescent="0.25">
      <c r="A190" s="97">
        <v>190</v>
      </c>
      <c r="B190" s="107" t="s">
        <v>53</v>
      </c>
      <c r="C190" s="108">
        <v>0.23</v>
      </c>
      <c r="D190" s="109">
        <v>800</v>
      </c>
      <c r="E190" s="109">
        <v>840</v>
      </c>
    </row>
    <row r="191" spans="1:5" s="97" customFormat="1" x14ac:dyDescent="0.25">
      <c r="A191" s="97">
        <v>191</v>
      </c>
      <c r="B191" s="107" t="s">
        <v>54</v>
      </c>
      <c r="C191" s="108">
        <v>0.8</v>
      </c>
      <c r="D191" s="109">
        <v>2500</v>
      </c>
      <c r="E191" s="109">
        <v>840</v>
      </c>
    </row>
    <row r="192" spans="1:5" s="97" customFormat="1" x14ac:dyDescent="0.25">
      <c r="A192" s="97">
        <v>192</v>
      </c>
      <c r="B192" s="107" t="s">
        <v>55</v>
      </c>
      <c r="C192" s="108">
        <v>0.05</v>
      </c>
      <c r="D192" s="109">
        <v>120</v>
      </c>
      <c r="E192" s="109">
        <v>840</v>
      </c>
    </row>
    <row r="193" spans="1:5" s="97" customFormat="1" x14ac:dyDescent="0.25">
      <c r="A193" s="97">
        <v>193</v>
      </c>
      <c r="B193" s="107" t="s">
        <v>56</v>
      </c>
      <c r="C193" s="108">
        <v>3.5000000000000003E-2</v>
      </c>
      <c r="D193" s="109">
        <v>35</v>
      </c>
      <c r="E193" s="109">
        <v>840</v>
      </c>
    </row>
    <row r="194" spans="1:5" s="97" customFormat="1" x14ac:dyDescent="0.25">
      <c r="A194" s="97">
        <v>194</v>
      </c>
      <c r="B194" s="107" t="s">
        <v>57</v>
      </c>
      <c r="C194" s="108">
        <v>4.1000000000000002E-2</v>
      </c>
      <c r="D194" s="109">
        <v>250</v>
      </c>
      <c r="E194" s="109">
        <v>840</v>
      </c>
    </row>
    <row r="195" spans="1:5" s="97" customFormat="1" x14ac:dyDescent="0.25">
      <c r="A195" s="97">
        <v>195</v>
      </c>
      <c r="B195" s="107" t="s">
        <v>125</v>
      </c>
      <c r="C195" s="108">
        <v>999.99900000000002</v>
      </c>
      <c r="D195" s="109">
        <v>99999</v>
      </c>
      <c r="E195" s="109">
        <v>9999</v>
      </c>
    </row>
    <row r="196" spans="1:5" s="97" customFormat="1" x14ac:dyDescent="0.25">
      <c r="A196" s="97">
        <v>196</v>
      </c>
      <c r="B196" s="107" t="s">
        <v>126</v>
      </c>
      <c r="C196" s="108">
        <v>999.99900000000002</v>
      </c>
      <c r="D196" s="109">
        <v>99999</v>
      </c>
      <c r="E196" s="109">
        <v>9999</v>
      </c>
    </row>
    <row r="197" spans="1:5" s="97" customFormat="1" hidden="1" x14ac:dyDescent="0.25">
      <c r="D197" s="98"/>
      <c r="E197" s="98"/>
    </row>
    <row r="198" spans="1:5" s="97" customFormat="1" hidden="1" x14ac:dyDescent="0.25">
      <c r="D198" s="98"/>
      <c r="E198" s="98"/>
    </row>
    <row r="199" spans="1:5" s="97" customFormat="1" x14ac:dyDescent="0.25">
      <c r="A199" s="21" t="s">
        <v>59</v>
      </c>
      <c r="B199" s="21"/>
      <c r="C199" s="21"/>
      <c r="D199" s="96"/>
      <c r="E199" s="96"/>
    </row>
    <row r="200" spans="1:5" s="97" customFormat="1" x14ac:dyDescent="0.25">
      <c r="A200" s="97">
        <v>200</v>
      </c>
      <c r="B200" s="107" t="s">
        <v>60</v>
      </c>
      <c r="C200" s="108">
        <v>0.93</v>
      </c>
      <c r="D200" s="109">
        <v>1900</v>
      </c>
      <c r="E200" s="109">
        <v>840</v>
      </c>
    </row>
    <row r="201" spans="1:5" s="97" customFormat="1" x14ac:dyDescent="0.25">
      <c r="A201" s="97">
        <v>201</v>
      </c>
      <c r="B201" s="107" t="s">
        <v>61</v>
      </c>
      <c r="C201" s="108">
        <v>0.7</v>
      </c>
      <c r="D201" s="109">
        <v>1600</v>
      </c>
      <c r="E201" s="109">
        <v>840</v>
      </c>
    </row>
    <row r="202" spans="1:5" s="97" customFormat="1" x14ac:dyDescent="0.25">
      <c r="A202" s="97">
        <v>202</v>
      </c>
      <c r="B202" s="107" t="s">
        <v>62</v>
      </c>
      <c r="C202" s="108">
        <v>0.52</v>
      </c>
      <c r="D202" s="109">
        <v>1300</v>
      </c>
      <c r="E202" s="109">
        <v>840</v>
      </c>
    </row>
    <row r="203" spans="1:5" s="97" customFormat="1" x14ac:dyDescent="0.25">
      <c r="A203" s="97">
        <v>203</v>
      </c>
      <c r="B203" s="107" t="s">
        <v>133</v>
      </c>
      <c r="C203" s="108">
        <v>999.99900000000002</v>
      </c>
      <c r="D203" s="109">
        <v>99999</v>
      </c>
      <c r="E203" s="109">
        <v>9999</v>
      </c>
    </row>
    <row r="204" spans="1:5" s="97" customFormat="1" hidden="1" x14ac:dyDescent="0.25">
      <c r="D204" s="98"/>
      <c r="E204" s="98"/>
    </row>
    <row r="205" spans="1:5" s="97" customFormat="1" hidden="1" x14ac:dyDescent="0.25">
      <c r="D205" s="98"/>
      <c r="E205" s="98"/>
    </row>
    <row r="206" spans="1:5" s="97" customFormat="1" hidden="1" x14ac:dyDescent="0.25">
      <c r="D206" s="98"/>
      <c r="E206" s="98"/>
    </row>
    <row r="207" spans="1:5" s="97" customFormat="1" hidden="1" x14ac:dyDescent="0.25">
      <c r="D207" s="98"/>
      <c r="E207" s="98"/>
    </row>
    <row r="208" spans="1:5" s="97" customFormat="1" hidden="1" x14ac:dyDescent="0.25">
      <c r="D208" s="98"/>
      <c r="E208" s="98"/>
    </row>
    <row r="209" spans="1:5" s="97" customFormat="1" x14ac:dyDescent="0.25">
      <c r="A209" s="21" t="s">
        <v>63</v>
      </c>
      <c r="B209" s="21"/>
      <c r="C209" s="21"/>
      <c r="D209" s="96"/>
      <c r="E209" s="96"/>
    </row>
    <row r="210" spans="1:5" s="97" customFormat="1" x14ac:dyDescent="0.25">
      <c r="A210" s="97">
        <v>210</v>
      </c>
      <c r="B210" s="107" t="s">
        <v>64</v>
      </c>
      <c r="C210" s="108">
        <v>1.2</v>
      </c>
      <c r="D210" s="109">
        <v>2000</v>
      </c>
      <c r="E210" s="109">
        <v>840</v>
      </c>
    </row>
    <row r="211" spans="1:5" s="97" customFormat="1" x14ac:dyDescent="0.25">
      <c r="A211" s="97">
        <v>211</v>
      </c>
      <c r="B211" s="107" t="s">
        <v>65</v>
      </c>
      <c r="C211" s="108">
        <v>0.8</v>
      </c>
      <c r="D211" s="109">
        <v>1700</v>
      </c>
      <c r="E211" s="109">
        <v>840</v>
      </c>
    </row>
    <row r="212" spans="1:5" s="97" customFormat="1" x14ac:dyDescent="0.25">
      <c r="A212" s="97">
        <v>212</v>
      </c>
      <c r="B212" s="107" t="s">
        <v>127</v>
      </c>
      <c r="C212" s="108">
        <v>999.99900000000002</v>
      </c>
      <c r="D212" s="109">
        <v>99999</v>
      </c>
      <c r="E212" s="109">
        <v>9999</v>
      </c>
    </row>
    <row r="213" spans="1:5" s="97" customFormat="1" hidden="1" x14ac:dyDescent="0.25">
      <c r="D213" s="98"/>
      <c r="E213" s="98"/>
    </row>
    <row r="214" spans="1:5" s="97" customFormat="1" hidden="1" x14ac:dyDescent="0.25">
      <c r="D214" s="98"/>
      <c r="E214" s="98"/>
    </row>
    <row r="215" spans="1:5" s="97" customFormat="1" hidden="1" x14ac:dyDescent="0.25">
      <c r="D215" s="98"/>
      <c r="E215" s="98"/>
    </row>
    <row r="216" spans="1:5" s="97" customFormat="1" hidden="1" x14ac:dyDescent="0.25">
      <c r="D216" s="98"/>
      <c r="E216" s="98"/>
    </row>
    <row r="217" spans="1:5" s="97" customFormat="1" hidden="1" x14ac:dyDescent="0.25">
      <c r="D217" s="98"/>
      <c r="E217" s="98"/>
    </row>
    <row r="218" spans="1:5" s="97" customFormat="1" hidden="1" x14ac:dyDescent="0.25">
      <c r="D218" s="98"/>
      <c r="E218" s="98"/>
    </row>
    <row r="219" spans="1:5" s="97" customFormat="1" x14ac:dyDescent="0.25">
      <c r="A219" s="21" t="s">
        <v>66</v>
      </c>
      <c r="B219" s="21"/>
      <c r="C219" s="21"/>
      <c r="D219" s="96"/>
      <c r="E219" s="96"/>
    </row>
    <row r="220" spans="1:5" s="97" customFormat="1" x14ac:dyDescent="0.25">
      <c r="A220" s="97">
        <v>220</v>
      </c>
      <c r="B220" s="107" t="s">
        <v>67</v>
      </c>
      <c r="C220" s="108">
        <v>4.1000000000000002E-2</v>
      </c>
      <c r="D220" s="109">
        <v>100</v>
      </c>
      <c r="E220" s="109">
        <v>1760</v>
      </c>
    </row>
    <row r="221" spans="1:5" s="97" customFormat="1" x14ac:dyDescent="0.25">
      <c r="A221" s="97">
        <v>221</v>
      </c>
      <c r="B221" s="107" t="s">
        <v>1</v>
      </c>
      <c r="C221" s="108">
        <v>0.17</v>
      </c>
      <c r="D221" s="109">
        <v>1200</v>
      </c>
      <c r="E221" s="109">
        <v>1470</v>
      </c>
    </row>
    <row r="222" spans="1:5" s="97" customFormat="1" x14ac:dyDescent="0.25">
      <c r="A222" s="97">
        <v>222</v>
      </c>
      <c r="B222" s="107" t="s">
        <v>68</v>
      </c>
      <c r="C222" s="108">
        <v>0.17</v>
      </c>
      <c r="D222" s="109">
        <v>1200</v>
      </c>
      <c r="E222" s="109">
        <v>1470</v>
      </c>
    </row>
    <row r="223" spans="1:5" s="97" customFormat="1" x14ac:dyDescent="0.25">
      <c r="A223" s="97">
        <v>223</v>
      </c>
      <c r="B223" s="107" t="s">
        <v>82</v>
      </c>
      <c r="C223" s="108">
        <v>0.08</v>
      </c>
      <c r="D223" s="109">
        <v>330</v>
      </c>
      <c r="E223" s="109">
        <v>1470</v>
      </c>
    </row>
    <row r="224" spans="1:5" s="97" customFormat="1" x14ac:dyDescent="0.25">
      <c r="A224" s="97">
        <v>224</v>
      </c>
      <c r="B224" s="107" t="s">
        <v>83</v>
      </c>
      <c r="C224" s="108">
        <v>0.12</v>
      </c>
      <c r="D224" s="109">
        <v>700</v>
      </c>
      <c r="E224" s="109">
        <v>1470</v>
      </c>
    </row>
    <row r="225" spans="1:5" s="97" customFormat="1" x14ac:dyDescent="0.25">
      <c r="A225" s="97">
        <v>225</v>
      </c>
      <c r="B225" s="110" t="s">
        <v>128</v>
      </c>
      <c r="C225" s="108">
        <v>999.99900000000002</v>
      </c>
      <c r="D225" s="109">
        <v>99999</v>
      </c>
      <c r="E225" s="109">
        <v>9999</v>
      </c>
    </row>
    <row r="226" spans="1:5" s="97" customFormat="1" hidden="1" x14ac:dyDescent="0.25">
      <c r="D226" s="98"/>
      <c r="E226" s="98"/>
    </row>
    <row r="227" spans="1:5" s="97" customFormat="1" hidden="1" x14ac:dyDescent="0.25">
      <c r="D227" s="98"/>
      <c r="E227" s="98"/>
    </row>
    <row r="228" spans="1:5" s="97" customFormat="1" hidden="1" x14ac:dyDescent="0.25">
      <c r="D228" s="98"/>
      <c r="E228" s="98"/>
    </row>
    <row r="229" spans="1:5" s="97" customFormat="1" x14ac:dyDescent="0.25">
      <c r="A229" s="21" t="s">
        <v>69</v>
      </c>
      <c r="B229" s="21"/>
      <c r="C229" s="21"/>
      <c r="D229" s="96"/>
      <c r="E229" s="96"/>
    </row>
    <row r="230" spans="1:5" s="97" customFormat="1" x14ac:dyDescent="0.25">
      <c r="A230" s="97">
        <v>230</v>
      </c>
      <c r="B230" s="107" t="s">
        <v>70</v>
      </c>
      <c r="C230" s="108">
        <v>0.17</v>
      </c>
      <c r="D230" s="109">
        <v>800</v>
      </c>
      <c r="E230" s="109">
        <v>1880</v>
      </c>
    </row>
    <row r="231" spans="1:5" s="97" customFormat="1" x14ac:dyDescent="0.25">
      <c r="A231" s="97">
        <v>231</v>
      </c>
      <c r="B231" s="107" t="s">
        <v>71</v>
      </c>
      <c r="C231" s="108">
        <v>0.14000000000000001</v>
      </c>
      <c r="D231" s="109">
        <v>550</v>
      </c>
      <c r="E231" s="109">
        <v>1880</v>
      </c>
    </row>
    <row r="232" spans="1:5" s="97" customFormat="1" x14ac:dyDescent="0.25">
      <c r="A232" s="97">
        <v>232</v>
      </c>
      <c r="B232" s="107" t="s">
        <v>175</v>
      </c>
      <c r="C232" s="108">
        <v>0.17</v>
      </c>
      <c r="D232" s="109">
        <v>700</v>
      </c>
      <c r="E232" s="109">
        <v>1880</v>
      </c>
    </row>
    <row r="233" spans="1:5" s="97" customFormat="1" x14ac:dyDescent="0.25">
      <c r="A233" s="97">
        <v>233</v>
      </c>
      <c r="B233" s="107" t="s">
        <v>72</v>
      </c>
      <c r="C233" s="108">
        <v>0.28999999999999998</v>
      </c>
      <c r="D233" s="109">
        <v>1000</v>
      </c>
      <c r="E233" s="109">
        <v>1680</v>
      </c>
    </row>
    <row r="234" spans="1:5" s="97" customFormat="1" x14ac:dyDescent="0.25">
      <c r="A234" s="97">
        <v>234</v>
      </c>
      <c r="B234" s="107" t="s">
        <v>73</v>
      </c>
      <c r="C234" s="108">
        <v>0.08</v>
      </c>
      <c r="D234" s="109">
        <v>275</v>
      </c>
      <c r="E234" s="109">
        <v>2100</v>
      </c>
    </row>
    <row r="235" spans="1:5" s="97" customFormat="1" x14ac:dyDescent="0.25">
      <c r="A235" s="97">
        <v>235</v>
      </c>
      <c r="B235" s="107" t="s">
        <v>74</v>
      </c>
      <c r="C235" s="108">
        <v>0.1</v>
      </c>
      <c r="D235" s="109">
        <v>450</v>
      </c>
      <c r="E235" s="109">
        <v>1880</v>
      </c>
    </row>
    <row r="236" spans="1:5" s="97" customFormat="1" x14ac:dyDescent="0.25">
      <c r="A236" s="97">
        <v>236</v>
      </c>
      <c r="B236" s="107" t="s">
        <v>75</v>
      </c>
      <c r="C236" s="108">
        <v>0.09</v>
      </c>
      <c r="D236" s="109">
        <v>350</v>
      </c>
      <c r="E236" s="109">
        <v>1470</v>
      </c>
    </row>
    <row r="237" spans="1:5" s="97" customFormat="1" x14ac:dyDescent="0.25">
      <c r="A237" s="97">
        <v>237</v>
      </c>
      <c r="B237" s="107" t="s">
        <v>76</v>
      </c>
      <c r="C237" s="108">
        <v>0.1</v>
      </c>
      <c r="D237" s="109">
        <v>400</v>
      </c>
      <c r="E237" s="109">
        <v>1470</v>
      </c>
    </row>
    <row r="238" spans="1:5" s="97" customFormat="1" x14ac:dyDescent="0.25">
      <c r="A238" s="97">
        <v>238</v>
      </c>
      <c r="B238" s="107" t="s">
        <v>129</v>
      </c>
      <c r="C238" s="108">
        <v>999.99900000000002</v>
      </c>
      <c r="D238" s="109">
        <v>99999</v>
      </c>
      <c r="E238" s="109">
        <v>9999</v>
      </c>
    </row>
    <row r="239" spans="1:5" s="97" customFormat="1" x14ac:dyDescent="0.25">
      <c r="A239" s="21" t="s">
        <v>77</v>
      </c>
      <c r="B239" s="21"/>
      <c r="C239" s="21"/>
      <c r="D239" s="96"/>
      <c r="E239" s="96"/>
    </row>
    <row r="240" spans="1:5" s="97" customFormat="1" x14ac:dyDescent="0.25">
      <c r="A240" s="97">
        <v>240</v>
      </c>
      <c r="B240" s="107" t="s">
        <v>130</v>
      </c>
      <c r="C240" s="108">
        <v>3.5000000000000003E-2</v>
      </c>
      <c r="D240" s="109">
        <v>20</v>
      </c>
      <c r="E240" s="109">
        <v>1470</v>
      </c>
    </row>
    <row r="241" spans="1:5" s="97" customFormat="1" x14ac:dyDescent="0.25">
      <c r="A241" s="97">
        <v>241</v>
      </c>
      <c r="B241" s="107" t="s">
        <v>131</v>
      </c>
      <c r="C241" s="108">
        <v>2.7E-2</v>
      </c>
      <c r="D241" s="109">
        <v>35</v>
      </c>
      <c r="E241" s="109">
        <v>1470</v>
      </c>
    </row>
    <row r="242" spans="1:5" s="97" customFormat="1" x14ac:dyDescent="0.25">
      <c r="A242" s="97">
        <v>242</v>
      </c>
      <c r="B242" s="107" t="s">
        <v>78</v>
      </c>
      <c r="C242" s="108">
        <v>5.3999999999999999E-2</v>
      </c>
      <c r="D242" s="109">
        <v>10</v>
      </c>
      <c r="E242" s="109">
        <v>1470</v>
      </c>
    </row>
    <row r="243" spans="1:5" s="97" customFormat="1" x14ac:dyDescent="0.25">
      <c r="A243" s="97">
        <v>243</v>
      </c>
      <c r="B243" s="107" t="s">
        <v>79</v>
      </c>
      <c r="C243" s="108">
        <v>2.1000000000000001E-2</v>
      </c>
      <c r="D243" s="109">
        <v>30</v>
      </c>
      <c r="E243" s="109">
        <v>1470</v>
      </c>
    </row>
    <row r="244" spans="1:5" s="97" customFormat="1" x14ac:dyDescent="0.25">
      <c r="A244" s="97">
        <v>244</v>
      </c>
      <c r="B244" s="107" t="s">
        <v>80</v>
      </c>
      <c r="C244" s="108">
        <v>3.5000000000000003E-2</v>
      </c>
      <c r="D244" s="109">
        <v>25</v>
      </c>
      <c r="E244" s="109">
        <v>1470</v>
      </c>
    </row>
    <row r="245" spans="1:5" s="97" customFormat="1" x14ac:dyDescent="0.25">
      <c r="A245" s="97">
        <v>245</v>
      </c>
      <c r="B245" s="107" t="s">
        <v>132</v>
      </c>
      <c r="C245" s="108">
        <v>999.99900000000002</v>
      </c>
      <c r="D245" s="109">
        <v>99999</v>
      </c>
      <c r="E245" s="109">
        <v>9999</v>
      </c>
    </row>
    <row r="246" spans="1:5" s="97" customFormat="1" x14ac:dyDescent="0.25">
      <c r="A246" s="21"/>
      <c r="B246" s="21"/>
      <c r="C246" s="21"/>
      <c r="D246" s="96"/>
      <c r="E246" s="96"/>
    </row>
    <row r="247" spans="1:5" s="97" customFormat="1" x14ac:dyDescent="0.25">
      <c r="D247" s="98"/>
      <c r="E247" s="98"/>
    </row>
    <row r="248" spans="1:5" s="97" customFormat="1" x14ac:dyDescent="0.25">
      <c r="A248" s="111" t="s">
        <v>159</v>
      </c>
      <c r="D248" s="98"/>
      <c r="E248" s="98"/>
    </row>
    <row r="249" spans="1:5" s="97" customFormat="1" x14ac:dyDescent="0.25">
      <c r="B249" s="112" t="s">
        <v>5</v>
      </c>
      <c r="C249" s="113" t="s">
        <v>168</v>
      </c>
      <c r="D249" s="114" t="s">
        <v>94</v>
      </c>
      <c r="E249" s="115" t="s">
        <v>2</v>
      </c>
    </row>
    <row r="250" spans="1:5" x14ac:dyDescent="0.25">
      <c r="A250" s="117">
        <v>250</v>
      </c>
      <c r="B250" s="85" t="s">
        <v>207</v>
      </c>
      <c r="C250" s="89">
        <v>1.2</v>
      </c>
      <c r="D250" s="89">
        <v>1200</v>
      </c>
      <c r="E250" s="89">
        <v>840</v>
      </c>
    </row>
    <row r="251" spans="1:5" x14ac:dyDescent="0.25">
      <c r="A251" s="117">
        <v>251</v>
      </c>
      <c r="B251" s="85"/>
      <c r="C251" s="89"/>
      <c r="D251" s="89"/>
      <c r="E251" s="89"/>
    </row>
    <row r="252" spans="1:5" x14ac:dyDescent="0.25">
      <c r="A252" s="117">
        <v>252</v>
      </c>
      <c r="B252" s="85"/>
      <c r="C252" s="89"/>
      <c r="D252" s="89"/>
      <c r="E252" s="89"/>
    </row>
    <row r="253" spans="1:5" x14ac:dyDescent="0.25">
      <c r="A253" s="117">
        <v>253</v>
      </c>
      <c r="B253" s="86"/>
      <c r="C253" s="87"/>
      <c r="D253" s="88"/>
      <c r="E253" s="88"/>
    </row>
    <row r="254" spans="1:5" x14ac:dyDescent="0.25">
      <c r="A254" s="117">
        <v>254</v>
      </c>
      <c r="B254" s="86"/>
      <c r="C254" s="87"/>
      <c r="D254" s="88"/>
      <c r="E254" s="88"/>
    </row>
    <row r="255" spans="1:5" x14ac:dyDescent="0.25">
      <c r="A255" s="117">
        <v>255</v>
      </c>
      <c r="B255" s="86"/>
      <c r="C255" s="87"/>
      <c r="D255" s="88"/>
      <c r="E255" s="88"/>
    </row>
    <row r="256" spans="1:5" x14ac:dyDescent="0.25">
      <c r="A256" s="117">
        <v>256</v>
      </c>
      <c r="B256" s="86"/>
      <c r="C256" s="87"/>
      <c r="D256" s="88"/>
      <c r="E256" s="88"/>
    </row>
    <row r="257" spans="1:5" x14ac:dyDescent="0.25">
      <c r="A257" s="117">
        <v>257</v>
      </c>
      <c r="B257" s="86"/>
      <c r="C257" s="87"/>
      <c r="D257" s="88"/>
      <c r="E257" s="88"/>
    </row>
    <row r="258" spans="1:5" x14ac:dyDescent="0.25">
      <c r="A258" s="117">
        <v>258</v>
      </c>
      <c r="B258" s="86"/>
      <c r="C258" s="87"/>
      <c r="D258" s="88"/>
      <c r="E258" s="88"/>
    </row>
    <row r="259" spans="1:5" x14ac:dyDescent="0.25">
      <c r="A259" s="117">
        <v>259</v>
      </c>
      <c r="B259" s="86"/>
      <c r="C259" s="87"/>
      <c r="D259" s="88"/>
      <c r="E259" s="88"/>
    </row>
    <row r="260" spans="1:5" x14ac:dyDescent="0.25">
      <c r="A260" s="117">
        <v>260</v>
      </c>
      <c r="B260" s="86"/>
      <c r="C260" s="87"/>
      <c r="D260" s="88"/>
      <c r="E260" s="88"/>
    </row>
    <row r="261" spans="1:5" x14ac:dyDescent="0.25">
      <c r="A261" s="117">
        <v>261</v>
      </c>
      <c r="B261" s="86"/>
      <c r="C261" s="87"/>
      <c r="D261" s="88"/>
      <c r="E261" s="88"/>
    </row>
    <row r="262" spans="1:5" x14ac:dyDescent="0.25">
      <c r="A262" s="117">
        <v>262</v>
      </c>
      <c r="B262" s="86"/>
      <c r="C262" s="87"/>
      <c r="D262" s="88"/>
      <c r="E262" s="88"/>
    </row>
    <row r="263" spans="1:5" x14ac:dyDescent="0.25">
      <c r="A263" s="117">
        <v>263</v>
      </c>
      <c r="B263" s="86"/>
      <c r="C263" s="87"/>
      <c r="D263" s="88"/>
      <c r="E263" s="88"/>
    </row>
    <row r="264" spans="1:5" x14ac:dyDescent="0.25">
      <c r="A264" s="117">
        <v>264</v>
      </c>
      <c r="B264" s="86"/>
      <c r="C264" s="87"/>
      <c r="D264" s="88"/>
      <c r="E264" s="88"/>
    </row>
    <row r="265" spans="1:5" x14ac:dyDescent="0.25">
      <c r="A265" s="117">
        <v>265</v>
      </c>
      <c r="B265" s="86"/>
      <c r="C265" s="87"/>
      <c r="D265" s="88"/>
      <c r="E265" s="88"/>
    </row>
    <row r="266" spans="1:5" x14ac:dyDescent="0.25">
      <c r="A266" s="117">
        <v>266</v>
      </c>
      <c r="B266" s="86"/>
      <c r="C266" s="87"/>
      <c r="D266" s="88"/>
      <c r="E266" s="88"/>
    </row>
    <row r="267" spans="1:5" x14ac:dyDescent="0.25">
      <c r="A267" s="117">
        <v>267</v>
      </c>
      <c r="B267" s="86"/>
      <c r="C267" s="87"/>
      <c r="D267" s="88"/>
      <c r="E267" s="88"/>
    </row>
    <row r="268" spans="1:5" x14ac:dyDescent="0.25">
      <c r="A268" s="117">
        <v>268</v>
      </c>
      <c r="B268" s="86"/>
      <c r="C268" s="87"/>
      <c r="D268" s="88"/>
      <c r="E268" s="88"/>
    </row>
    <row r="269" spans="1:5" x14ac:dyDescent="0.25">
      <c r="A269" s="117">
        <v>269</v>
      </c>
      <c r="B269" s="86"/>
      <c r="C269" s="87"/>
      <c r="D269" s="88"/>
      <c r="E269" s="88"/>
    </row>
    <row r="270" spans="1:5" x14ac:dyDescent="0.25">
      <c r="A270" s="117">
        <v>270</v>
      </c>
      <c r="B270" s="86"/>
      <c r="C270" s="87"/>
      <c r="D270" s="88"/>
      <c r="E270" s="88"/>
    </row>
    <row r="271" spans="1:5" x14ac:dyDescent="0.25">
      <c r="A271" s="117">
        <v>271</v>
      </c>
      <c r="B271" s="86"/>
      <c r="C271" s="87"/>
      <c r="D271" s="88"/>
      <c r="E271" s="88"/>
    </row>
    <row r="272" spans="1:5" x14ac:dyDescent="0.25">
      <c r="A272" s="117">
        <v>272</v>
      </c>
      <c r="B272" s="86"/>
      <c r="C272" s="87"/>
      <c r="D272" s="88"/>
      <c r="E272" s="88"/>
    </row>
    <row r="273" spans="1:5" x14ac:dyDescent="0.25">
      <c r="A273" s="117">
        <v>273</v>
      </c>
      <c r="B273" s="86"/>
      <c r="C273" s="87"/>
      <c r="D273" s="88"/>
      <c r="E273" s="88"/>
    </row>
    <row r="274" spans="1:5" x14ac:dyDescent="0.25">
      <c r="A274" s="117">
        <v>274</v>
      </c>
      <c r="B274" s="86"/>
      <c r="C274" s="87"/>
      <c r="D274" s="88"/>
      <c r="E274" s="88"/>
    </row>
    <row r="275" spans="1:5" x14ac:dyDescent="0.25">
      <c r="A275" s="117">
        <v>275</v>
      </c>
      <c r="B275" s="86"/>
      <c r="C275" s="87"/>
      <c r="D275" s="88"/>
      <c r="E275" s="88"/>
    </row>
    <row r="276" spans="1:5" x14ac:dyDescent="0.25">
      <c r="A276" s="117">
        <v>276</v>
      </c>
      <c r="B276" s="86"/>
      <c r="C276" s="87"/>
      <c r="D276" s="88"/>
      <c r="E276" s="88"/>
    </row>
    <row r="277" spans="1:5" x14ac:dyDescent="0.25">
      <c r="A277" s="117">
        <v>277</v>
      </c>
      <c r="B277" s="86"/>
      <c r="C277" s="87"/>
      <c r="D277" s="88"/>
      <c r="E277" s="88"/>
    </row>
    <row r="278" spans="1:5" x14ac:dyDescent="0.25">
      <c r="A278" s="117">
        <v>278</v>
      </c>
      <c r="B278" s="86"/>
      <c r="C278" s="87"/>
      <c r="D278" s="88"/>
      <c r="E278" s="88"/>
    </row>
    <row r="279" spans="1:5" x14ac:dyDescent="0.25">
      <c r="A279" s="117">
        <v>279</v>
      </c>
      <c r="B279" s="86"/>
      <c r="C279" s="87"/>
      <c r="D279" s="88"/>
      <c r="E279" s="88"/>
    </row>
    <row r="280" spans="1:5" x14ac:dyDescent="0.25">
      <c r="A280" s="117">
        <v>280</v>
      </c>
      <c r="B280" s="86"/>
      <c r="C280" s="87"/>
      <c r="D280" s="88"/>
      <c r="E280" s="88"/>
    </row>
  </sheetData>
  <sheetProtection algorithmName="SHA-512" hashValue="DAKJ0NlBGScxrWVSujOJCSIIRwP/viS9LFKhI6kd+1ST+HZ7cpvXbEA0HCbYi7VXk+4G58D8NHNhOSgXJSLRRQ==" saltValue="FCz0IlhnOOr9wLY7GwGc6Q==" spinCount="100000" sheet="1" objects="1" scenarios="1"/>
  <conditionalFormatting sqref="C240:E244 C190:E194 C230:E237">
    <cfRule type="cellIs" dxfId="8" priority="16" operator="lessThan">
      <formula>0.0000001</formula>
    </cfRule>
  </conditionalFormatting>
  <conditionalFormatting sqref="C100:E103 C120:E125 C150:E152 C170:E174 C110:E115 C130:E134 C140:E148 C160:E163 C180:E184 C210:E212 C200:E203 C220:E225">
    <cfRule type="cellIs" dxfId="7" priority="15" operator="lessThan">
      <formula>0.0000001</formula>
    </cfRule>
  </conditionalFormatting>
  <conditionalFormatting sqref="C5:E5">
    <cfRule type="cellIs" dxfId="6" priority="14" operator="lessThan">
      <formula>0.0000001</formula>
    </cfRule>
  </conditionalFormatting>
  <conditionalFormatting sqref="C245:E245">
    <cfRule type="cellIs" dxfId="5" priority="3" operator="lessThan">
      <formula>0.0000001</formula>
    </cfRule>
  </conditionalFormatting>
  <conditionalFormatting sqref="C195:E195">
    <cfRule type="cellIs" dxfId="4" priority="5" operator="lessThan">
      <formula>0.0000001</formula>
    </cfRule>
  </conditionalFormatting>
  <conditionalFormatting sqref="C238:E238">
    <cfRule type="cellIs" dxfId="3" priority="4" operator="lessThan">
      <formula>0.0000001</formula>
    </cfRule>
  </conditionalFormatting>
  <conditionalFormatting sqref="C196:E196">
    <cfRule type="cellIs" dxfId="2" priority="6" operator="lessThan">
      <formula>0.0000001</formula>
    </cfRule>
  </conditionalFormatting>
  <conditionalFormatting sqref="C253:E254 C256:E260 C262:E266 C268:E272 C274:E278 C280:E280">
    <cfRule type="cellIs" dxfId="1" priority="2" operator="lessThan">
      <formula>0.0000001</formula>
    </cfRule>
  </conditionalFormatting>
  <conditionalFormatting sqref="C255:E255 C261:E261 C267:E267 C273:E273 C279:E279">
    <cfRule type="cellIs" dxfId="0" priority="1" operator="lessThan">
      <formula>0.0000001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C2A21-A7FD-44D6-A769-60490C2245AA}">
  <sheetPr>
    <tabColor rgb="FFFFFFCC"/>
  </sheetPr>
  <dimension ref="A1"/>
  <sheetViews>
    <sheetView showGridLines="0" zoomScale="70" zoomScaleNormal="70" workbookViewId="0">
      <selection activeCell="M145" sqref="M145"/>
    </sheetView>
  </sheetViews>
  <sheetFormatPr defaultColWidth="8.85546875" defaultRowHeight="15" x14ac:dyDescent="0.25"/>
  <cols>
    <col min="1" max="16384" width="8.85546875" style="84"/>
  </cols>
  <sheetData/>
  <sheetProtection algorithmName="SHA-512" hashValue="Ga4+CyAr5NTSo/i1ZXfQuoJcsNpZO7JQGPmuldpUuLVSMvNUABC7gPlnNBV63/N6hb8+u4B7KbeUdIDlNY2W1Q==" saltValue="pA4GmKgP72Uz3x0EzpPIPg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C13C860563D048A8035F8DB284BBE6" ma:contentTypeVersion="14" ma:contentTypeDescription="Een nieuw document maken." ma:contentTypeScope="" ma:versionID="db0894971b8dcd29d608605dfc8a0401">
  <xsd:schema xmlns:xsd="http://www.w3.org/2001/XMLSchema" xmlns:xs="http://www.w3.org/2001/XMLSchema" xmlns:p="http://schemas.microsoft.com/office/2006/metadata/properties" xmlns:ns2="3d055e0e-fdd8-4dd5-8572-b6dad6f2fbe7" xmlns:ns3="91b4aea9-b568-41b8-b3af-ffac8e327348" targetNamespace="http://schemas.microsoft.com/office/2006/metadata/properties" ma:root="true" ma:fieldsID="c49e7fe4c31cfa55336b4e29bb3ecd52" ns2:_="" ns3:_="">
    <xsd:import namespace="3d055e0e-fdd8-4dd5-8572-b6dad6f2fbe7"/>
    <xsd:import namespace="91b4aea9-b568-41b8-b3af-ffac8e32734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Datumentijd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055e0e-fdd8-4dd5-8572-b6dad6f2fbe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4aea9-b568-41b8-b3af-ffac8e3273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atumentijd" ma:index="20" nillable="true" ma:displayName="Datum en tijd" ma:format="DateOnly" ma:internalName="Datumentijd">
      <xsd:simpleType>
        <xsd:restriction base="dms:DateTime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umentijd xmlns="91b4aea9-b568-41b8-b3af-ffac8e32734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D4B528-C411-4257-9434-F62C674FAA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055e0e-fdd8-4dd5-8572-b6dad6f2fbe7"/>
    <ds:schemaRef ds:uri="91b4aea9-b568-41b8-b3af-ffac8e3273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2D8AF1-44B1-4AC8-8BCC-47B8215EED9D}">
  <ds:schemaRefs>
    <ds:schemaRef ds:uri="http://schemas.microsoft.com/office/2006/metadata/properties"/>
    <ds:schemaRef ds:uri="http://schemas.microsoft.com/office/infopath/2007/PartnerControls"/>
    <ds:schemaRef ds:uri="91b4aea9-b568-41b8-b3af-ffac8e327348"/>
  </ds:schemaRefs>
</ds:datastoreItem>
</file>

<file path=customXml/itemProps3.xml><?xml version="1.0" encoding="utf-8"?>
<ds:datastoreItem xmlns:ds="http://schemas.openxmlformats.org/officeDocument/2006/customXml" ds:itemID="{6FE9E135-7F9A-454B-A39B-9519EBDEB7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Uitleg + disclaimer</vt:lpstr>
      <vt:lpstr>VOORBEELD Ci berekening</vt:lpstr>
      <vt:lpstr>Ci Rekentool</vt:lpstr>
      <vt:lpstr>MateriaalDatabank</vt:lpstr>
      <vt:lpstr>bron MateriaalDatabank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2020-10-23T08:05:56Z</dcterms:created>
  <dcterms:modified xsi:type="dcterms:W3CDTF">2022-01-24T09:19:50Z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0x0101003CC13C860563D048A8035F8DB284BBE6</vt:lpwstr>
  </property>
</Properties>
</file>